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naina Kathpalia\Documents\PUD Database\update\"/>
    </mc:Choice>
  </mc:AlternateContent>
  <xr:revisionPtr revIDLastSave="0" documentId="13_ncr:1_{BD5A6422-CF31-49D3-A811-C0E9EEBDFF33}" xr6:coauthVersionLast="47" xr6:coauthVersionMax="47" xr10:uidLastSave="{00000000-0000-0000-0000-000000000000}"/>
  <bookViews>
    <workbookView xWindow="-108" yWindow="-108" windowWidth="23256" windowHeight="12456" xr2:uid="{D2E43FAA-1458-4908-902D-DEAB52662A1F}"/>
  </bookViews>
  <sheets>
    <sheet name="Sheet1" sheetId="1" r:id="rId1"/>
  </sheets>
  <externalReferences>
    <externalReference r:id="rId2"/>
  </externalReferences>
  <definedNames>
    <definedName name="_xlnm._FilterDatabase" localSheetId="0" hidden="1">Sheet1!$A$1:$W$92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U12" i="1" l="1"/>
  <c r="U92" i="1"/>
  <c r="U91" i="1"/>
  <c r="U90" i="1"/>
  <c r="U89" i="1"/>
  <c r="J89" i="1"/>
  <c r="U88" i="1"/>
  <c r="U87" i="1"/>
  <c r="L87" i="1"/>
  <c r="U86" i="1"/>
  <c r="J86" i="1"/>
  <c r="L86" i="1" s="1"/>
  <c r="U85" i="1"/>
  <c r="L85" i="1"/>
  <c r="U84" i="1"/>
  <c r="T84" i="1"/>
  <c r="U83" i="1"/>
  <c r="L83" i="1"/>
  <c r="U82" i="1"/>
  <c r="L82" i="1"/>
  <c r="U81" i="1"/>
  <c r="U80" i="1"/>
  <c r="L80" i="1"/>
  <c r="U79" i="1"/>
  <c r="U78" i="1"/>
  <c r="L78" i="1"/>
  <c r="U77" i="1"/>
  <c r="T77" i="1"/>
  <c r="U76" i="1"/>
  <c r="J76" i="1"/>
  <c r="I76" i="1"/>
  <c r="U75" i="1"/>
  <c r="K75" i="1"/>
  <c r="U74" i="1"/>
  <c r="L74" i="1"/>
  <c r="U73" i="1"/>
  <c r="L73" i="1"/>
  <c r="U72" i="1"/>
  <c r="U71" i="1"/>
  <c r="T71" i="1"/>
  <c r="L71" i="1"/>
  <c r="U70" i="1"/>
  <c r="L70" i="1"/>
  <c r="K70" i="1" s="1"/>
  <c r="U69" i="1"/>
  <c r="T69" i="1"/>
  <c r="P69" i="1"/>
  <c r="O69" i="1"/>
  <c r="N69" i="1"/>
  <c r="M69" i="1"/>
  <c r="J69" i="1"/>
  <c r="K69" i="1" s="1"/>
  <c r="U68" i="1"/>
  <c r="J68" i="1"/>
  <c r="I68" i="1"/>
  <c r="U67" i="1"/>
  <c r="K67" i="1"/>
  <c r="P67" i="1" s="1"/>
  <c r="J67" i="1"/>
  <c r="I67" i="1"/>
  <c r="U66" i="1"/>
  <c r="T66" i="1"/>
  <c r="P66" i="1"/>
  <c r="K66" i="1" s="1"/>
  <c r="L66" i="1" s="1"/>
  <c r="U65" i="1"/>
  <c r="P65" i="1"/>
  <c r="O65" i="1"/>
  <c r="N65" i="1"/>
  <c r="J65" i="1"/>
  <c r="I65" i="1"/>
  <c r="U64" i="1"/>
  <c r="U63" i="1"/>
  <c r="J63" i="1"/>
  <c r="I63" i="1"/>
  <c r="U62" i="1"/>
  <c r="U61" i="1"/>
  <c r="K61" i="1"/>
  <c r="U60" i="1"/>
  <c r="L60" i="1"/>
  <c r="K60" i="1" s="1"/>
  <c r="H60" i="1"/>
  <c r="U59" i="1"/>
  <c r="L59" i="1"/>
  <c r="U58" i="1"/>
  <c r="L58" i="1"/>
  <c r="U57" i="1"/>
  <c r="U56" i="1"/>
  <c r="U55" i="1"/>
  <c r="L55" i="1"/>
  <c r="U54" i="1"/>
  <c r="J54" i="1"/>
  <c r="I54" i="1"/>
  <c r="U53" i="1"/>
  <c r="U52" i="1"/>
  <c r="L52" i="1"/>
  <c r="U51" i="1"/>
  <c r="L51" i="1"/>
  <c r="U50" i="1"/>
  <c r="L50" i="1"/>
  <c r="U49" i="1"/>
  <c r="L49" i="1"/>
  <c r="U48" i="1"/>
  <c r="L48" i="1"/>
  <c r="U47" i="1"/>
  <c r="L47" i="1"/>
  <c r="U46" i="1"/>
  <c r="L46" i="1"/>
  <c r="U45" i="1"/>
  <c r="L45" i="1"/>
  <c r="U44" i="1"/>
  <c r="L44" i="1"/>
  <c r="U43" i="1"/>
  <c r="U42" i="1"/>
  <c r="L42" i="1"/>
  <c r="U41" i="1"/>
  <c r="U40" i="1"/>
  <c r="L40" i="1"/>
  <c r="U39" i="1"/>
  <c r="L39" i="1"/>
  <c r="U38" i="1"/>
  <c r="U37" i="1"/>
  <c r="P37" i="1"/>
  <c r="J37" i="1"/>
  <c r="U36" i="1"/>
  <c r="L36" i="1"/>
  <c r="U35" i="1"/>
  <c r="L35" i="1"/>
  <c r="U34" i="1"/>
  <c r="K34" i="1"/>
  <c r="J34" i="1"/>
  <c r="I34" i="1"/>
  <c r="U33" i="1"/>
  <c r="L33" i="1"/>
  <c r="U32" i="1"/>
  <c r="L32" i="1"/>
  <c r="U31" i="1"/>
  <c r="L31" i="1"/>
  <c r="U30" i="1"/>
  <c r="U29" i="1"/>
  <c r="L29" i="1"/>
  <c r="U28" i="1"/>
  <c r="J28" i="1"/>
  <c r="L28" i="1" s="1"/>
  <c r="I28" i="1"/>
  <c r="U27" i="1"/>
  <c r="L27" i="1"/>
  <c r="U26" i="1"/>
  <c r="U25" i="1"/>
  <c r="L25" i="1"/>
  <c r="U24" i="1"/>
  <c r="U23" i="1"/>
  <c r="L23" i="1"/>
  <c r="U22" i="1"/>
  <c r="L22" i="1"/>
  <c r="U21" i="1"/>
  <c r="L21" i="1"/>
  <c r="U20" i="1"/>
  <c r="U19" i="1"/>
  <c r="L19" i="1"/>
  <c r="U18" i="1"/>
  <c r="L18" i="1"/>
  <c r="U17" i="1"/>
  <c r="L17" i="1"/>
  <c r="U16" i="1"/>
  <c r="L16" i="1"/>
  <c r="U15" i="1"/>
  <c r="O15" i="1"/>
  <c r="U14" i="1"/>
  <c r="L14" i="1"/>
  <c r="U13" i="1"/>
  <c r="K13" i="1"/>
  <c r="L13" i="1" s="1"/>
  <c r="U11" i="1"/>
  <c r="L11" i="1"/>
  <c r="U10" i="1"/>
  <c r="U9" i="1"/>
  <c r="U8" i="1"/>
  <c r="K65" i="1" l="1"/>
  <c r="L65" i="1" s="1"/>
</calcChain>
</file>

<file path=xl/sharedStrings.xml><?xml version="1.0" encoding="utf-8"?>
<sst xmlns="http://schemas.openxmlformats.org/spreadsheetml/2006/main" count="646" uniqueCount="435">
  <si>
    <t>PUD_CASE_NUMBER</t>
  </si>
  <si>
    <t>PUD_NAME</t>
  </si>
  <si>
    <t>Original PUD_WEB_URL</t>
  </si>
  <si>
    <t>Latest PUD Modifcation URL</t>
  </si>
  <si>
    <t>PUD_ZONING</t>
  </si>
  <si>
    <t>WARD</t>
  </si>
  <si>
    <t>Pre-PUD Zone</t>
  </si>
  <si>
    <t>Project FAR</t>
  </si>
  <si>
    <t>Units Low</t>
  </si>
  <si>
    <t>Units High</t>
  </si>
  <si>
    <t>Affordable Units</t>
  </si>
  <si>
    <t>% Affordable</t>
  </si>
  <si>
    <t>Aff Units @ 30%</t>
  </si>
  <si>
    <t>Aff Units @ 50%</t>
  </si>
  <si>
    <t>Aff Units @ 60%</t>
  </si>
  <si>
    <t>Aff Units @ 80%</t>
  </si>
  <si>
    <t>Aff Units @ 100%</t>
  </si>
  <si>
    <t>Aff Units @ 120%</t>
  </si>
  <si>
    <t>AMI Level</t>
  </si>
  <si>
    <t>Car Parking</t>
  </si>
  <si>
    <t>Valued CBA Line Items</t>
  </si>
  <si>
    <t>RPP Restrictions?</t>
  </si>
  <si>
    <t>Other Notes</t>
  </si>
  <si>
    <t>19-01</t>
  </si>
  <si>
    <t>Wesley Hawaii, LLC</t>
  </si>
  <si>
    <t>https://app.dcoz.dc.gov/Content/Search/ViewCaseReport.aspx?case_id=19-01</t>
  </si>
  <si>
    <t>RA-2</t>
  </si>
  <si>
    <t>Ward 5</t>
  </si>
  <si>
    <t>18-21</t>
  </si>
  <si>
    <t>Hanover R.S. Limited Partnership</t>
  </si>
  <si>
    <t>https://app.dcoz.dc.gov/Content/Search/ViewCaseReport.aspx?case_id=18-21</t>
  </si>
  <si>
    <t>MU-4</t>
  </si>
  <si>
    <t>18-14</t>
  </si>
  <si>
    <t>3840 S Capitol LLC and 3848 S Capitol LLC</t>
  </si>
  <si>
    <t>https://app.dcoz.dc.gov/Content/Search/ViewCaseReport.aspx?case_id=18-14</t>
  </si>
  <si>
    <t>Ward 8</t>
  </si>
  <si>
    <t>18-03</t>
  </si>
  <si>
    <t>Dancing Crab Properties LLC</t>
  </si>
  <si>
    <t>https://app.dcoz.dc.gov/Content/Search/ViewCaseReport.aspx?case_id=18-03</t>
  </si>
  <si>
    <t>MU-5B</t>
  </si>
  <si>
    <t>Ward 3</t>
  </si>
  <si>
    <t>Yes</t>
  </si>
  <si>
    <t>17-19</t>
  </si>
  <si>
    <t>The Warrenton Group &amp; NHP Foundation</t>
  </si>
  <si>
    <t>https://app.dcoz.dc.gov/Content/Search/ViewCaseReport.aspx?case_id=17-19</t>
  </si>
  <si>
    <t>Ward 7</t>
  </si>
  <si>
    <t>MU-3</t>
  </si>
  <si>
    <t>Parcel 1: 3.52, Parcel 2: 3.36</t>
  </si>
  <si>
    <t>17-14</t>
  </si>
  <si>
    <t>UM 500 Penn Street NE LLC &amp; UDR Inc</t>
  </si>
  <si>
    <t>https://app.dcoz.dc.gov/Content/Search/ViewCaseReport.aspx?case_id=17-14</t>
  </si>
  <si>
    <t>MU-9</t>
  </si>
  <si>
    <t>PDR-1</t>
  </si>
  <si>
    <t>15 total (1 IZ) units must be 3 bedroom</t>
  </si>
  <si>
    <t>17-10</t>
  </si>
  <si>
    <t>The Warrenton Group</t>
  </si>
  <si>
    <t>https://app.dcoz.dc.gov/Content/Search/ViewCaseReport.aspx?case_id=17-10</t>
  </si>
  <si>
    <t>MU-5-A</t>
  </si>
  <si>
    <t>17-09</t>
  </si>
  <si>
    <t>FP Eckington Holdings, LLC</t>
  </si>
  <si>
    <t>https://app.dcoz.dc.gov/Content/Search/ViewCaseReport.aspx?case_id=17-09</t>
  </si>
  <si>
    <t>MU-5A</t>
  </si>
  <si>
    <t>PDR-2, PDR-4</t>
  </si>
  <si>
    <t>17-08</t>
  </si>
  <si>
    <t>Providence Place I, LP</t>
  </si>
  <si>
    <t>https://app.dcoz.dc.gov/Content/Search/ViewCaseReport.aspx?case_id=17-08</t>
  </si>
  <si>
    <t>RA-1</t>
  </si>
  <si>
    <t>17-06</t>
  </si>
  <si>
    <t>Capital Vista Community PArtners &amp; District of Columbia</t>
  </si>
  <si>
    <t>https://app.dcoz.dc.gov/Content/Search/ViewCaseReport.aspx?case_id=17-06</t>
  </si>
  <si>
    <t>D-4-R</t>
  </si>
  <si>
    <t>Ward 6</t>
  </si>
  <si>
    <t>16-26</t>
  </si>
  <si>
    <t>Wisconsin Owner LLC</t>
  </si>
  <si>
    <t>https://app.dcoz.dc.gov/Content/Search/ViewCaseReport.aspx?case_id=16-26</t>
  </si>
  <si>
    <t>MU-7</t>
  </si>
  <si>
    <t>10-29</t>
  </si>
  <si>
    <t>Hazle II LLC</t>
  </si>
  <si>
    <t>https://app.dcoz.dc.gov/Content/Search/ViewCaseReport.aspx?case_id=10-29</t>
  </si>
  <si>
    <t>R-5-B</t>
  </si>
  <si>
    <t>16-24</t>
  </si>
  <si>
    <t>1336 8th St SPE LLC</t>
  </si>
  <si>
    <t>https://app.dcoz.dc.gov/Content/Search/ViewCaseReport.aspx?case_id=16-24</t>
  </si>
  <si>
    <t>MU-6</t>
  </si>
  <si>
    <t>16-20</t>
  </si>
  <si>
    <t>3443 Benning Road LLC</t>
  </si>
  <si>
    <t>https://app.dcoz.dc.gov/Content/Search/ViewCaseReport.aspx?case_id=16-20</t>
  </si>
  <si>
    <t>R-3</t>
  </si>
  <si>
    <t>16-17</t>
  </si>
  <si>
    <t>EYA Development LLC</t>
  </si>
  <si>
    <t>https://app.dcoz.dc.gov/Content/Search/ViewCaseReport.aspx?case_id=16-17</t>
  </si>
  <si>
    <t>R-2</t>
  </si>
  <si>
    <t>No</t>
  </si>
  <si>
    <t>16-13</t>
  </si>
  <si>
    <t>JS Congress Holdings LLC</t>
  </si>
  <si>
    <t>https://app.dcoz.dc.gov/Content/Search/ViewCaseReport.aspx?case_id=16-13</t>
  </si>
  <si>
    <t>C-2-B</t>
  </si>
  <si>
    <t>C-M-1</t>
  </si>
  <si>
    <t>~8</t>
  </si>
  <si>
    <t>~12%</t>
  </si>
  <si>
    <t>4%@80, 8%@50</t>
  </si>
  <si>
    <t>Additional 4% of GFA offered as affordable housing benefit above the 8% IZ reguirement</t>
  </si>
  <si>
    <t>16-12</t>
  </si>
  <si>
    <t>Park View Community Partners &amp; the District of Columbia</t>
  </si>
  <si>
    <t>https://app.dcoz.dc.gov/Content/Search/ViewCaseReport.aspx?case_id=16-12</t>
  </si>
  <si>
    <t>Ward 1</t>
  </si>
  <si>
    <t>R-4</t>
  </si>
  <si>
    <t>16-10</t>
  </si>
  <si>
    <t>EAJ 400 Florida Avenue LLC</t>
  </si>
  <si>
    <t>https://app.dcoz.dc.gov/Content/Search/ViewCaseReport.aspx?case_id=16-10</t>
  </si>
  <si>
    <t>C-3-C</t>
  </si>
  <si>
    <t>16-09</t>
  </si>
  <si>
    <t>1200 3rd Street LLC</t>
  </si>
  <si>
    <t>https://app.dcoz.dc.gov/Content/Search/ViewCaseReport.aspx?case_id=16-09</t>
  </si>
  <si>
    <t>C-M-3</t>
  </si>
  <si>
    <t>16-07</t>
  </si>
  <si>
    <t>W-G 9th and O LLC</t>
  </si>
  <si>
    <t>https://app.dcoz.dc.gov/Content/Search/ViewCaseReport.aspx?case_id=16-07</t>
  </si>
  <si>
    <t>C-2-A</t>
  </si>
  <si>
    <t>16-05</t>
  </si>
  <si>
    <t>Fifth and Morse L/Cal LLC</t>
  </si>
  <si>
    <t>https://app.dcoz.dc.gov/Content/Search/ViewCaseReport.aspx?case_id=16-05</t>
  </si>
  <si>
    <t>16-02</t>
  </si>
  <si>
    <t>DC Stadium LLC</t>
  </si>
  <si>
    <t>https://app.dcoz.dc.gov/Content/Search/ViewCaseReport.aspx?case_id=16-02</t>
  </si>
  <si>
    <t>None</t>
  </si>
  <si>
    <t>CR</t>
  </si>
  <si>
    <t>-</t>
  </si>
  <si>
    <t>Ward 2</t>
  </si>
  <si>
    <t>15-34</t>
  </si>
  <si>
    <t>Sherman Avenue LLC</t>
  </si>
  <si>
    <t>https://app.dcoz.dc.gov/Content/Search/ViewCaseReport.aspx?case_id=15-34</t>
  </si>
  <si>
    <t>https://app.dcoz.dc.gov/Content/Search/ViewCaseReport.aspx?case_id=15-34A</t>
  </si>
  <si>
    <t>15-33</t>
  </si>
  <si>
    <t>Insight E Street LLC</t>
  </si>
  <si>
    <t>https://app.dcoz.dc.gov/Content/Search/ViewCaseReport.aspx?case_id=15-33</t>
  </si>
  <si>
    <t>15-32</t>
  </si>
  <si>
    <t>1126 9th St NW LLC</t>
  </si>
  <si>
    <t>https://app.dcoz.dc.gov/Content/Search/ViewCaseReport.aspx?case_id=15-32</t>
  </si>
  <si>
    <t>DD/C-2-C</t>
  </si>
  <si>
    <t>DD/C-2-A</t>
  </si>
  <si>
    <t>15-31</t>
  </si>
  <si>
    <t>777 17th Street LLC</t>
  </si>
  <si>
    <t>https://app.dcoz.dc.gov/Content/Search/ViewCaseReport.aspx?case_id=15-31</t>
  </si>
  <si>
    <t>C-3-A</t>
  </si>
  <si>
    <t>15-28</t>
  </si>
  <si>
    <t>Foulger-Pratt Development LLC</t>
  </si>
  <si>
    <t>https://app.dcoz.dc.gov/Content/Search/ViewCaseReport.aspx?case_id=15-28</t>
  </si>
  <si>
    <t>15-27</t>
  </si>
  <si>
    <t>KF Morse LLC</t>
  </si>
  <si>
    <t>https://app.dcoz.dc.gov/Content/Search/ViewCaseReport.aspx?case_id=15-27</t>
  </si>
  <si>
    <t>15-24</t>
  </si>
  <si>
    <t>Gallaudet University &amp; The JBG Companies</t>
  </si>
  <si>
    <t>https://app.dcoz.dc.gov/Content/Search/ViewCaseReport.aspx?case_id=15-24</t>
  </si>
  <si>
    <t>C-3-A, C-3-C</t>
  </si>
  <si>
    <t>15-22</t>
  </si>
  <si>
    <t>301 FL Manager LLC</t>
  </si>
  <si>
    <t>https://app.dcoz.dc.gov/Content/Search/ViewCaseReport.aspx?case_id=15-22</t>
  </si>
  <si>
    <t>15-21</t>
  </si>
  <si>
    <t>Kenilworth Revitalization LLC &amp; DCHA</t>
  </si>
  <si>
    <t>https://app.dcoz.dc.gov/Content/Search/ViewCaseReport.aspx?case_id=15-21</t>
  </si>
  <si>
    <t>R-5-B, C-2-A</t>
  </si>
  <si>
    <t>R-5-A, R-1-B</t>
  </si>
  <si>
    <t>15-20</t>
  </si>
  <si>
    <t>Sursum Corda Cooperative Association</t>
  </si>
  <si>
    <t>https://app.dcoz.dc.gov/Content/Search/ViewCaseReport.aspx?case_id=15-20</t>
  </si>
  <si>
    <t>Phase 1 will include 136 units for existing residents</t>
  </si>
  <si>
    <t>15-18</t>
  </si>
  <si>
    <t>Initio LP</t>
  </si>
  <si>
    <t>https://app.dcoz.dc.gov/Content/Search/ViewCaseReport.aspx?case_id=15-18</t>
  </si>
  <si>
    <t>W-2</t>
  </si>
  <si>
    <t>C-2-A, unzoned</t>
  </si>
  <si>
    <t>15-15</t>
  </si>
  <si>
    <t>JBG/Boundary 1500 Hary Thomas LLC &amp; JBG/Boundary Eckington Place LLC</t>
  </si>
  <si>
    <t>https://app.dcoz.dc.gov/Content/Search/ViewCaseReport.aspx?case_id=15-15</t>
  </si>
  <si>
    <t>M</t>
  </si>
  <si>
    <t>15-14</t>
  </si>
  <si>
    <t>District of Columbia Water and Sewer Authority</t>
  </si>
  <si>
    <t>https://app.dcoz.dc.gov/Content/Search/ViewCaseReport.aspx?case_id=15-14</t>
  </si>
  <si>
    <t>CG/CR</t>
  </si>
  <si>
    <t>CG/W-2</t>
  </si>
  <si>
    <t>15-13</t>
  </si>
  <si>
    <t>Watkins Alley LLC</t>
  </si>
  <si>
    <t>https://app.dcoz.dc.gov/Content/Search/ViewCaseReport.aspx?case_id=15-13</t>
  </si>
  <si>
    <t>C-M-1, R-4</t>
  </si>
  <si>
    <t>15-12</t>
  </si>
  <si>
    <t>J River 1401 Pennsylvania Ave LLC</t>
  </si>
  <si>
    <t>https://app.dcoz.dc.gov/Content/Search/ViewCaseReport.aspx?case_id=15-12</t>
  </si>
  <si>
    <t>C-2-A, R-4</t>
  </si>
  <si>
    <t>15-10</t>
  </si>
  <si>
    <t>Deanwood Hills LLC</t>
  </si>
  <si>
    <t>https://app.dcoz.dc.gov/Content/Search/ViewCaseReport.aspx?case_id=15-10</t>
  </si>
  <si>
    <t>15-07</t>
  </si>
  <si>
    <t>MRP Realty</t>
  </si>
  <si>
    <t>https://app.dcoz.dc.gov/Content/Search/ViewCaseReport.aspx?case_id=15-07</t>
  </si>
  <si>
    <t>C-2-B/HS-H</t>
  </si>
  <si>
    <t>15-05</t>
  </si>
  <si>
    <t>P.N. Hoffman Inc &amp; Riverside Baptist Church</t>
  </si>
  <si>
    <t>https://app.dcoz.dc.gov/Content/Search/ViewCaseReport.aspx?case_id=15-05</t>
  </si>
  <si>
    <t>15-04</t>
  </si>
  <si>
    <t>Comstock Sixth Street LLC</t>
  </si>
  <si>
    <t>https://app.dcoz.dc.gov/Content/Search/ViewCaseReport.aspx?case_id=15-04</t>
  </si>
  <si>
    <t>R-2, FT/C-M-1</t>
  </si>
  <si>
    <t>15-03</t>
  </si>
  <si>
    <t>Aria Development Group</t>
  </si>
  <si>
    <t>https://app.dcoz.dc.gov/Content/Search/ViewCaseReport.aspx?case_id=15-03</t>
  </si>
  <si>
    <t>R-5-C</t>
  </si>
  <si>
    <t>15-02</t>
  </si>
  <si>
    <t>MHI-Brookland LLC</t>
  </si>
  <si>
    <t>https://app.dcoz.dc.gov/Content/Search/ViewCaseReport.aspx?case_id=15-02</t>
  </si>
  <si>
    <t>D/R-5-A</t>
  </si>
  <si>
    <t>15-01</t>
  </si>
  <si>
    <t>Level 2 Development</t>
  </si>
  <si>
    <t>https://app.dcoz.dc.gov/Content/Search/ViewCaseReport.aspx?case_id=15-01</t>
  </si>
  <si>
    <t>14-21</t>
  </si>
  <si>
    <t>Barry Place Partners LLC</t>
  </si>
  <si>
    <t>https://app.dcoz.dc.gov/Content/Search/ViewCaseReport.aspx?case_id=14-21</t>
  </si>
  <si>
    <t>14-19</t>
  </si>
  <si>
    <t>M St Dev Group LLC &amp; Square 772 Dev Group LLC</t>
  </si>
  <si>
    <t>https://app.dcoz.dc.gov/Content/Search/ViewCaseReport.aspx?case_id=14-19</t>
  </si>
  <si>
    <t>14-18</t>
  </si>
  <si>
    <t>Mid-City Financial Corporation &amp; Brentwood Associates LP &amp; MCF Brentwood SC LLC</t>
  </si>
  <si>
    <t>https://app.dcoz.dc.gov/Content/Search/ViewCaseReport.aspx?case_id=14-18</t>
  </si>
  <si>
    <t>https://app.dcoz.dc.gov/Content/Search/ViewCaseReport.aspx?case_id=14-18A</t>
  </si>
  <si>
    <t>C-2-A/R-5-B</t>
  </si>
  <si>
    <t>C-2-A, R-5-A</t>
  </si>
  <si>
    <t>14-14</t>
  </si>
  <si>
    <t>Jemals CDC LLC</t>
  </si>
  <si>
    <t>https://app.dcoz.dc.gov/Content/Search/ViewCaseReport.aspx?case_id=14-14</t>
  </si>
  <si>
    <t>HS-H/C-2-B</t>
  </si>
  <si>
    <t>HS-H/C-2-A</t>
  </si>
  <si>
    <t>14-12</t>
  </si>
  <si>
    <t>EAJ 1309 5th St LLC</t>
  </si>
  <si>
    <t>https://app.dcoz.dc.gov/Content/Search/ViewCaseReport.aspx?case_id=14-12</t>
  </si>
  <si>
    <t>14-09</t>
  </si>
  <si>
    <t>QC 369 LLC</t>
  </si>
  <si>
    <t>https://app.dcoz.dc.gov/Content/Search/ViewCaseReport.aspx?case_id=14-09</t>
  </si>
  <si>
    <t>DD/C-2-C, DD/C-2-A</t>
  </si>
  <si>
    <t>DD/C-2-A, DD/C-2-C</t>
  </si>
  <si>
    <t>14-08</t>
  </si>
  <si>
    <t>Portner Place LLC</t>
  </si>
  <si>
    <t>https://app.dcoz.dc.gov/Content/Search/ViewCaseReport.aspx?case_id=14-08</t>
  </si>
  <si>
    <t>R-5-D, CR</t>
  </si>
  <si>
    <t>14-07</t>
  </si>
  <si>
    <t>GG Union LP, 1250 4th St LLC &amp; 4th st NE LLC</t>
  </si>
  <si>
    <t>https://app.dcoz.dc.gov/Content/Search/ViewCaseReport.aspx?case_id=14-07</t>
  </si>
  <si>
    <t>https://app.dcoz.dc.gov/Content/Search/ViewCaseReport.aspx?case_id=14-07B</t>
  </si>
  <si>
    <t>1250 4th St Edens LLC</t>
  </si>
  <si>
    <t>https://app.dcoz.dc.gov/Content/Search/ViewCaseReport.aspx?case_id=14-07A</t>
  </si>
  <si>
    <t>14-04</t>
  </si>
  <si>
    <t>Professional Associates and International Finance Corporation</t>
  </si>
  <si>
    <t>https://app.dcoz.dc.gov/Content/Search/ViewCaseReport.aspx?case_id=14-04</t>
  </si>
  <si>
    <t>https://app.dcoz.dc.gov/Content/Search/ViewCaseReport.aspx?case_id=14-04A</t>
  </si>
  <si>
    <t>14-01</t>
  </si>
  <si>
    <t>Jemals Hechts LLC</t>
  </si>
  <si>
    <t>https://app.dcoz.dc.gov/Content/Search/ViewCaseReport.aspx?case_id=14-01</t>
  </si>
  <si>
    <t>https://app.dcoz.dc.gov/Content/Search/ViewCaseReport.aspx?case_id=14-01A</t>
  </si>
  <si>
    <t>C-M-2</t>
  </si>
  <si>
    <t>13-18</t>
  </si>
  <si>
    <t>WBG Wheeler Road LLC</t>
  </si>
  <si>
    <t>https://app.dcoz.dc.gov/Content/Search/ViewCaseReport.aspx?case_id=13-18</t>
  </si>
  <si>
    <t>C-1</t>
  </si>
  <si>
    <t>35 2BR and 20 3BR</t>
  </si>
  <si>
    <t>13-17</t>
  </si>
  <si>
    <t>Brownstein Commons LP</t>
  </si>
  <si>
    <t>https://app.dcoz.dc.gov/Content/Search/ViewCaseReport.aspx?case_id=13-17</t>
  </si>
  <si>
    <t>R-5-A</t>
  </si>
  <si>
    <t>Combo project of 74 townhouses and a multi-unit bldg of 190-205 units.</t>
  </si>
  <si>
    <t>13-14</t>
  </si>
  <si>
    <t>Vision McMillan Partners LLC &amp; DMPED</t>
  </si>
  <si>
    <t>https://app.dcoz.dc.gov/Content/Search/ViewCaseReport.aspx?case_id=13-14</t>
  </si>
  <si>
    <t>C-3-C, CR</t>
  </si>
  <si>
    <t>Unzoned</t>
  </si>
  <si>
    <t>13-12</t>
  </si>
  <si>
    <t>1333 M St SE LLC</t>
  </si>
  <si>
    <t>https://app.dcoz.dc.gov/Content/Search/ViewCaseReport.aspx?case_id=13-12</t>
  </si>
  <si>
    <t>https://app.dcoz.dc.gov/Content/Search/ViewCaseReport.aspx?case_id=13-12A</t>
  </si>
  <si>
    <t>13-10</t>
  </si>
  <si>
    <t>ZP Georgia LP</t>
  </si>
  <si>
    <t>https://app.dcoz.dc.gov/Content/Search/ViewCaseReport.aspx?case_id=13-10</t>
  </si>
  <si>
    <t>https://app.dcoz.dc.gov/Content/Search/ViewCaseReport.aspx?case_id=13-10A</t>
  </si>
  <si>
    <t>GA/C-2-A</t>
  </si>
  <si>
    <t>13-09</t>
  </si>
  <si>
    <t>Stanton Square LLC</t>
  </si>
  <si>
    <t>https://app.dcoz.dc.gov/Content/Search/ViewCaseReport.aspx?case_id=13-09</t>
  </si>
  <si>
    <t>R-5-A, SP-1</t>
  </si>
  <si>
    <t>13-08</t>
  </si>
  <si>
    <t>Square 5914 LLC</t>
  </si>
  <si>
    <t>https://app.dcoz.dc.gov/Content/Search/ViewCaseReport.aspx?case_id=13-08</t>
  </si>
  <si>
    <t>C-3-B</t>
  </si>
  <si>
    <t>13-05</t>
  </si>
  <si>
    <t>Forest City Washington</t>
  </si>
  <si>
    <t>https://app.dcoz.dc.gov/Content/Search/ViewCaseReport.aspx?case_id=13-05</t>
  </si>
  <si>
    <t>CG/CR, CG/W-1</t>
  </si>
  <si>
    <t>13-04</t>
  </si>
  <si>
    <t>ICG 16th Street Associates LLC</t>
  </si>
  <si>
    <t>https://app.dcoz.dc.gov/Content/Search/ViewCaseReport.aspx?case_id=13-04</t>
  </si>
  <si>
    <t>SP-2</t>
  </si>
  <si>
    <t>12-21</t>
  </si>
  <si>
    <t>Covenant Baptist Church</t>
  </si>
  <si>
    <t>https://app.dcoz.dc.gov/Content/Search/ViewCaseReport.aspx?case_id=12-21</t>
  </si>
  <si>
    <t>https://app.dcoz.dc.gov/Content/Search/ViewCaseReport.aspx?case_id=12-21A</t>
  </si>
  <si>
    <t>Housing intended for persons age 55 or over to the extent permitted by law</t>
  </si>
  <si>
    <t>12-20</t>
  </si>
  <si>
    <t>13th and U Lessee LLC</t>
  </si>
  <si>
    <t>https://app.dcoz.dc.gov/Content/Search/ViewCaseReport.aspx?case_id=12-20</t>
  </si>
  <si>
    <t>https://app.dcoz.dc.gov/Content/Search/ViewCaseReport.aspx?case_id=12-20A</t>
  </si>
  <si>
    <t>ARTS/CR</t>
  </si>
  <si>
    <t>ARTS/C-2-A</t>
  </si>
  <si>
    <t>4 weeks of monitoring of trip generations with DDOT</t>
  </si>
  <si>
    <t>12-18</t>
  </si>
  <si>
    <t>USL WDC H Street LLC &amp; H Street Self Storage LLC</t>
  </si>
  <si>
    <t>https://app.dcoz.dc.gov/Content/Search/ViewCaseReport.aspx?case_id=12-18</t>
  </si>
  <si>
    <t>https://app.dcoz.dc.gov/Content/Search/ViewCaseReport.aspx?case_id=12-18B</t>
  </si>
  <si>
    <t>R-5-B, HS-H/C-2-B</t>
  </si>
  <si>
    <t>C-2-B and R-4</t>
  </si>
  <si>
    <t>12-16</t>
  </si>
  <si>
    <t>Capitol Gateway Marketplace</t>
  </si>
  <si>
    <t>https://app.dcoz.dc.gov/Content/Search/ViewCaseReport.aspx?case_id=12-16</t>
  </si>
  <si>
    <t>R-2 and R-5-A</t>
  </si>
  <si>
    <t>12-14</t>
  </si>
  <si>
    <t>3rd &amp; M and Park Inn Associates LP</t>
  </si>
  <si>
    <t>https://app.dcoz.dc.gov/Content/Search/ViewCaseReport.aspx?case_id=12-14</t>
  </si>
  <si>
    <t>R-5-D</t>
  </si>
  <si>
    <t>12-02</t>
  </si>
  <si>
    <t>B&amp;B 50 Florida Avenue LLC</t>
  </si>
  <si>
    <t>https://app.dcoz.dc.gov/Content/Search/ViewCaseReport.aspx?case_id=12-02</t>
  </si>
  <si>
    <t>C-2-A and C-M-2</t>
  </si>
  <si>
    <t>11-25</t>
  </si>
  <si>
    <t>Baywood Hotels</t>
  </si>
  <si>
    <t>https://app.dcoz.dc.gov/Content/Search/ViewCaseReport.aspx?case_id=11-25</t>
  </si>
  <si>
    <t>Hotel</t>
  </si>
  <si>
    <t>11-24</t>
  </si>
  <si>
    <t>Stanton-Eastbanc LLC</t>
  </si>
  <si>
    <t>https://app.dcoz.dc.gov/Content/Search/ViewCaseReport.aspx?case_id=11-24</t>
  </si>
  <si>
    <t>11-17</t>
  </si>
  <si>
    <t>Adams Morgan Church Hotel LLC</t>
  </si>
  <si>
    <t>https://app.dcoz.dc.gov/Content/Search/ViewCaseReport.aspx?case_id=11-17</t>
  </si>
  <si>
    <t>RC/C-2-B and R-5-B</t>
  </si>
  <si>
    <t>11-13</t>
  </si>
  <si>
    <t>TC/CSG St. Matthews LLC</t>
  </si>
  <si>
    <t>https://app.dcoz.dc.gov/Content/Search/ViewCaseReport.aspx?case_id=11-13</t>
  </si>
  <si>
    <t>https://app.dcoz.dc.gov/Content/Search/ViewCaseReport.aspx?case_id=11-13A</t>
  </si>
  <si>
    <t>138-164</t>
  </si>
  <si>
    <t>11-12</t>
  </si>
  <si>
    <t>EastBanc-W.D.C. Partners LLC</t>
  </si>
  <si>
    <t>https://app.dcoz.dc.gov/Content/Search/ViewCaseReport.aspx?case_id=11-12</t>
  </si>
  <si>
    <t>11-09</t>
  </si>
  <si>
    <t>Duball Petworth LLC</t>
  </si>
  <si>
    <t>https://app.dcoz.dc.gov/Content/Search/ViewCaseReport.aspx?case_id=11-09</t>
  </si>
  <si>
    <t>GA/C-3-A</t>
  </si>
  <si>
    <t>Ward 4</t>
  </si>
  <si>
    <t>New grocery store</t>
  </si>
  <si>
    <t>11-08</t>
  </si>
  <si>
    <t>MCREF Embassy LLC</t>
  </si>
  <si>
    <t>https://app.dcoz.dc.gov/Content/Search/ViewCaseReport.aspx?case_id=11-08</t>
  </si>
  <si>
    <t>https://app.dcoz.dc.gov/Content/Search/ViewCaseReport.aspx?case_id=11-08C</t>
  </si>
  <si>
    <t>R-5-D and D/R-5-B</t>
  </si>
  <si>
    <t>60-90</t>
  </si>
  <si>
    <t>11-03</t>
  </si>
  <si>
    <t>Wharf Phase 3 REIT Leaseholder, LLC</t>
  </si>
  <si>
    <t>https://app.dcoz.dc.gov/Content/Search/ViewCaseReport.aspx?case_id=11-03</t>
  </si>
  <si>
    <t>https://app.dcoz.dc.gov/Content/Search/ViewCaseReport.aspx?case_id=11-03J</t>
  </si>
  <si>
    <t>C-3-C, R-5-B, W-1</t>
  </si>
  <si>
    <t>W-1 and R-3</t>
  </si>
  <si>
    <t>Hoffman-Struever Waterfront LLC</t>
  </si>
  <si>
    <t>W-1, C-3-C, R-5-B</t>
  </si>
  <si>
    <t>10-28</t>
  </si>
  <si>
    <t>901 Monroe Street LLC</t>
  </si>
  <si>
    <t>https://app.dcoz.dc.gov/Content/Search/ViewCaseReport.aspx?case_id=10-28</t>
  </si>
  <si>
    <t>R-2 &amp; C-1</t>
  </si>
  <si>
    <t>10-26</t>
  </si>
  <si>
    <t>3321 Georgia LLC</t>
  </si>
  <si>
    <t>https://app.dcoz.dc.gov/Content/Search/ViewCaseReport.aspx?case_id=10-26</t>
  </si>
  <si>
    <t>https://app.dcoz.dc.gov/Content/Search/ViewCaseReport.aspx?case_id=10-26A</t>
  </si>
  <si>
    <t>GA/C-2-B</t>
  </si>
  <si>
    <t>10-23</t>
  </si>
  <si>
    <t>Jemals Babes</t>
  </si>
  <si>
    <t>https://app.dcoz.dc.gov/Content/Search/ViewCaseReport.aspx?case_id=10-23</t>
  </si>
  <si>
    <t>10-11</t>
  </si>
  <si>
    <t>The Nannie Helen at 4800</t>
  </si>
  <si>
    <t>https://app.dcoz.dc.gov/Content/Search/ViewCaseReport.aspx?case_id=10-11</t>
  </si>
  <si>
    <t>10-03</t>
  </si>
  <si>
    <t>Parcel Seven Associates LLC</t>
  </si>
  <si>
    <t>https://app.dcoz.dc.gov/Content/Search/ViewCaseReport.aspx?case_id=10-03</t>
  </si>
  <si>
    <t>17-21</t>
  </si>
  <si>
    <t>As You Like It, LLC</t>
  </si>
  <si>
    <t>https://app.dcoz.dc.gov/Content/Search/ViewCaseReport.aspx?case_id=17-21</t>
  </si>
  <si>
    <t>https://app.dcoz.dc.gov/Content/Search/ViewCaseReport.aspx?case_id=17-19A</t>
  </si>
  <si>
    <t>https://app.dcoz.dc.gov/Content/Search/ViewCaseReport.aspx?case_id=17-08A</t>
  </si>
  <si>
    <t>https://app.dcoz.dc.gov/CaseReport/ViewExhibitsReport.aspx?case_id=16-20A</t>
  </si>
  <si>
    <t>https://app.dcoz.dc.gov/Content/Search/ViewCaseReport.aspx?case_id=16-13G</t>
  </si>
  <si>
    <t>https://app.dcoz.dc.gov/Content/Search/ViewCaseReport.aspx?case_id=15-33A</t>
  </si>
  <si>
    <t>https://app.dcoz.dc.gov/Content/Search/ViewCaseReport.aspx?case_id=15-31B</t>
  </si>
  <si>
    <t>https://app.dcoz.dc.gov/Content/Search/ViewCaseReport.aspx?case_id=15-27F</t>
  </si>
  <si>
    <t>https://app.dcoz.dc.gov/Content/Search/ViewCaseReport.aspx?case_id=15-22A</t>
  </si>
  <si>
    <t>https://app.dcoz.dc.gov/Content/Search/ViewCaseReport.aspx?case_id=15-21C</t>
  </si>
  <si>
    <t>https://app.dcoz.dc.gov/Content/Search/ViewCaseReport.aspx?case_id=15-20B</t>
  </si>
  <si>
    <t>https://app.dcoz.dc.gov/Content/Search/ViewCaseReport.aspx?case_id=15-18A</t>
  </si>
  <si>
    <t>https://app.dcoz.dc.gov/Content/Search/ViewCaseReport.aspx?case_id=15-15A</t>
  </si>
  <si>
    <t>https://app.dcoz.dc.gov/Content/Search/ViewCaseReport.aspx?case_id=15-13C</t>
  </si>
  <si>
    <t>https://app.dcoz.dc.gov/Content/Search/ViewCaseReport.aspx?case_id=15-01A</t>
  </si>
  <si>
    <t>https://app.dcoz.dc.gov/Content/Search/ViewCaseReport.aspx?case_id=14-19A</t>
  </si>
  <si>
    <t>https://app.dcoz.dc.gov/Content/Search/ViewCaseReport.aspx?case_id=14-14A</t>
  </si>
  <si>
    <t>https://app.dcoz.dc.gov/Content/Search/ViewCaseReport.aspx?case_id=14-12E</t>
  </si>
  <si>
    <t>https://app.dcoz.dc.gov/Content/Search/ViewCaseReport.aspx?case_id=13-18B</t>
  </si>
  <si>
    <t>https://app.dcoz.dc.gov/Content/Search/ViewCaseReport.aspx?case_id=13-14C</t>
  </si>
  <si>
    <t>https://app.dcoz.dc.gov/Content/Search/ViewCaseReport.aspx?case_id=13-09C</t>
  </si>
  <si>
    <t>https://app.dcoz.dc.gov/Content/Search/ViewCaseReport.aspx?case_id=13-08B</t>
  </si>
  <si>
    <t>https://app.dcoz.dc.gov/Content/Search/ViewCaseReport.aspx?case_id=13-05D</t>
  </si>
  <si>
    <t>https://app.dcoz.dc.gov/Content/Search/ViewCaseReport.aspx?case_id=12-14C</t>
  </si>
  <si>
    <t>https://app.dcoz.dc.gov/Content/Search/ViewCaseReport.aspx?case_id=12-02A</t>
  </si>
  <si>
    <t>https://app.dcoz.dc.gov/Content/Search/ViewCaseReport.aspx?case_id=10-03D</t>
  </si>
  <si>
    <t>19-10</t>
  </si>
  <si>
    <t>Valor Development LLC</t>
  </si>
  <si>
    <t>https://app.dcoz.dc.gov/Content/Search/ViewCaseReport.aspx?case_id=19-10</t>
  </si>
  <si>
    <t>MCF Walp Phase 1, LLC</t>
  </si>
  <si>
    <t>https://app.dcoz.dc.gov/Content/Search/ViewCaseReport.aspx?case_id=19-16</t>
  </si>
  <si>
    <t>19-16</t>
  </si>
  <si>
    <t>19-19</t>
  </si>
  <si>
    <t>Terrace Manor Redevelopment LP</t>
  </si>
  <si>
    <t>https://app.dcoz.dc.gov/Content/Search/ViewCaseReport.aspx?case_id=19-19A</t>
  </si>
  <si>
    <t>https://app.dcoz.dc.gov/Content/Search/ViewCaseReport.aspx?case_id=19-19</t>
  </si>
  <si>
    <t xml:space="preserve">Ward 8 </t>
  </si>
  <si>
    <t>20-06</t>
  </si>
  <si>
    <t>Felice Development Group</t>
  </si>
  <si>
    <t>https://app.dcoz.dc.gov/Content/Search/ViewCaseReport.aspx?case_id=20-06</t>
  </si>
  <si>
    <t xml:space="preserve">Ward 5 </t>
  </si>
  <si>
    <t>PDR-4</t>
  </si>
  <si>
    <t>Belmont Crossing Partners LLC</t>
  </si>
  <si>
    <t>https://app.dcoz.dc.gov/Content/Search/ViewCaseReport.aspx?case_id=20-09</t>
  </si>
  <si>
    <t>20-09</t>
  </si>
  <si>
    <t>High Street District Development Inc</t>
  </si>
  <si>
    <t>https://app.dcoz.dc.gov/Content/Search/ViewCaseReport.aspx?case_id=20-27</t>
  </si>
  <si>
    <t>20-27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</si>
</sst>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u/>
      <sz val="11"/>
      <color rgb="FF000000"/>
      <name val="Calibri"/>
      <family val="2"/>
    </font>
    <font>
      <u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9">
    <xf numFmtId="0" fontId="0" fillId="0" borderId="0" xfId="0"/>
    <xf numFmtId="0" fontId="2" fillId="0" borderId="0" xfId="0" applyFont="1" applyAlignment="1">
      <alignment wrapText="1"/>
    </xf>
    <xf numFmtId="49" fontId="2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3" fontId="3" fillId="0" borderId="1" xfId="0" applyNumberFormat="1" applyFont="1" applyBorder="1" applyAlignment="1">
      <alignment horizontal="center" wrapText="1"/>
    </xf>
    <xf numFmtId="10" fontId="3" fillId="0" borderId="1" xfId="0" applyNumberFormat="1" applyFont="1" applyBorder="1" applyAlignment="1">
      <alignment horizontal="center" wrapText="1"/>
    </xf>
    <xf numFmtId="9" fontId="3" fillId="0" borderId="1" xfId="0" applyNumberFormat="1" applyFont="1" applyBorder="1" applyAlignment="1">
      <alignment horizontal="center" wrapText="1"/>
    </xf>
    <xf numFmtId="164" fontId="3" fillId="0" borderId="1" xfId="0" applyNumberFormat="1" applyFont="1" applyBorder="1" applyAlignment="1">
      <alignment horizontal="center" wrapText="1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right"/>
    </xf>
    <xf numFmtId="49" fontId="2" fillId="0" borderId="0" xfId="0" applyNumberFormat="1" applyFont="1"/>
    <xf numFmtId="0" fontId="2" fillId="0" borderId="0" xfId="0" applyFont="1"/>
    <xf numFmtId="0" fontId="5" fillId="0" borderId="0" xfId="0" applyFont="1"/>
    <xf numFmtId="10" fontId="4" fillId="0" borderId="0" xfId="0" applyNumberFormat="1" applyFont="1"/>
    <xf numFmtId="164" fontId="4" fillId="0" borderId="0" xfId="0" applyNumberFormat="1" applyFont="1"/>
    <xf numFmtId="3" fontId="4" fillId="0" borderId="0" xfId="0" applyNumberFormat="1" applyFont="1"/>
    <xf numFmtId="0" fontId="4" fillId="0" borderId="0" xfId="0" applyFont="1"/>
    <xf numFmtId="9" fontId="4" fillId="0" borderId="0" xfId="0" applyNumberFormat="1" applyFont="1"/>
    <xf numFmtId="0" fontId="6" fillId="0" borderId="0" xfId="0" applyFont="1"/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right"/>
    </xf>
    <xf numFmtId="10" fontId="4" fillId="0" borderId="0" xfId="0" applyNumberFormat="1" applyFont="1" applyAlignment="1">
      <alignment horizontal="right"/>
    </xf>
    <xf numFmtId="1" fontId="4" fillId="0" borderId="0" xfId="0" applyNumberFormat="1" applyFont="1"/>
    <xf numFmtId="1" fontId="2" fillId="0" borderId="0" xfId="0" applyNumberFormat="1" applyFont="1" applyAlignment="1">
      <alignment horizontal="center"/>
    </xf>
    <xf numFmtId="2" fontId="4" fillId="0" borderId="0" xfId="0" applyNumberFormat="1" applyFont="1"/>
    <xf numFmtId="0" fontId="1" fillId="0" borderId="0" xfId="1"/>
    <xf numFmtId="0" fontId="2" fillId="0" borderId="0" xfId="0" applyFont="1" applyAlignment="1"/>
    <xf numFmtId="0" fontId="1" fillId="0" borderId="0" xfId="1" applyAlignment="1"/>
    <xf numFmtId="0" fontId="4" fillId="0" borderId="0" xfId="0" applyFont="1" applyBorder="1" applyAlignment="1">
      <alignment horizontal="center" wrapText="1"/>
    </xf>
    <xf numFmtId="0" fontId="1" fillId="0" borderId="0" xfId="1" applyFont="1" applyAlignment="1"/>
    <xf numFmtId="3" fontId="4" fillId="0" borderId="0" xfId="0" applyNumberFormat="1" applyFont="1" applyBorder="1" applyAlignment="1">
      <alignment horizontal="center" wrapText="1"/>
    </xf>
    <xf numFmtId="10" fontId="4" fillId="0" borderId="0" xfId="0" applyNumberFormat="1" applyFont="1" applyBorder="1" applyAlignment="1">
      <alignment horizontal="center" wrapText="1"/>
    </xf>
    <xf numFmtId="9" fontId="4" fillId="0" borderId="0" xfId="0" applyNumberFormat="1" applyFont="1" applyBorder="1" applyAlignment="1">
      <alignment horizontal="center" wrapText="1"/>
    </xf>
    <xf numFmtId="164" fontId="4" fillId="0" borderId="0" xfId="0" applyNumberFormat="1" applyFont="1" applyBorder="1" applyAlignment="1">
      <alignment horizontal="center" wrapText="1"/>
    </xf>
    <xf numFmtId="0" fontId="0" fillId="0" borderId="0" xfId="0" applyFont="1"/>
    <xf numFmtId="3" fontId="4" fillId="0" borderId="0" xfId="0" applyNumberFormat="1" applyFont="1" applyAlignment="1">
      <alignment horizontal="left" wrapText="1"/>
    </xf>
    <xf numFmtId="49" fontId="2" fillId="0" borderId="0" xfId="0" applyNumberFormat="1" applyFont="1" applyAlignment="1"/>
    <xf numFmtId="0" fontId="4" fillId="0" borderId="0" xfId="0" applyFont="1" applyAlignment="1"/>
    <xf numFmtId="0" fontId="4" fillId="0" borderId="0" xfId="0" applyFont="1" applyBorder="1" applyAlignment="1">
      <alignment horizontal="center"/>
    </xf>
    <xf numFmtId="3" fontId="4" fillId="0" borderId="0" xfId="0" applyNumberFormat="1" applyFont="1" applyBorder="1" applyAlignment="1">
      <alignment horizontal="center"/>
    </xf>
    <xf numFmtId="10" fontId="4" fillId="0" borderId="0" xfId="0" applyNumberFormat="1" applyFont="1" applyBorder="1" applyAlignment="1">
      <alignment horizontal="center"/>
    </xf>
    <xf numFmtId="9" fontId="4" fillId="0" borderId="0" xfId="0" applyNumberFormat="1" applyFont="1" applyBorder="1" applyAlignment="1">
      <alignment horizontal="center"/>
    </xf>
    <xf numFmtId="164" fontId="4" fillId="0" borderId="0" xfId="0" applyNumberFormat="1" applyFont="1" applyBorder="1" applyAlignment="1">
      <alignment horizontal="center"/>
    </xf>
    <xf numFmtId="0" fontId="0" fillId="0" borderId="0" xfId="0" applyFont="1" applyAlignment="1"/>
    <xf numFmtId="3" fontId="4" fillId="0" borderId="0" xfId="0" applyNumberFormat="1" applyFont="1" applyAlignment="1">
      <alignment horizontal="left"/>
    </xf>
    <xf numFmtId="0" fontId="0" fillId="0" borderId="0" xfId="0" applyFill="1"/>
    <xf numFmtId="0" fontId="2" fillId="0" borderId="0" xfId="0" applyFont="1" applyFill="1" applyAlignment="1">
      <alignment horizontal="right"/>
    </xf>
    <xf numFmtId="3" fontId="3" fillId="0" borderId="1" xfId="0" applyNumberFormat="1" applyFont="1" applyBorder="1" applyAlignment="1">
      <alignment horizontal="right" wrapText="1"/>
    </xf>
    <xf numFmtId="3" fontId="4" fillId="0" borderId="0" xfId="0" applyNumberFormat="1" applyFont="1" applyBorder="1" applyAlignment="1">
      <alignment horizontal="right" wrapText="1"/>
    </xf>
    <xf numFmtId="3" fontId="4" fillId="0" borderId="0" xfId="0" applyNumberFormat="1" applyFont="1" applyBorder="1" applyAlignment="1">
      <alignment horizontal="right"/>
    </xf>
    <xf numFmtId="0" fontId="4" fillId="0" borderId="0" xfId="0" applyFont="1" applyBorder="1" applyAlignment="1">
      <alignment horizontal="right" wrapText="1"/>
    </xf>
    <xf numFmtId="0" fontId="4" fillId="0" borderId="0" xfId="0" applyFont="1" applyBorder="1" applyAlignment="1">
      <alignment horizontal="right"/>
    </xf>
    <xf numFmtId="49" fontId="2" fillId="0" borderId="0" xfId="0" applyNumberFormat="1" applyFont="1" applyFill="1"/>
    <xf numFmtId="0" fontId="2" fillId="0" borderId="0" xfId="0" applyFont="1" applyFill="1"/>
    <xf numFmtId="0" fontId="5" fillId="0" borderId="0" xfId="0" applyFont="1" applyFill="1"/>
    <xf numFmtId="10" fontId="4" fillId="0" borderId="0" xfId="0" applyNumberFormat="1" applyFont="1" applyFill="1"/>
    <xf numFmtId="164" fontId="4" fillId="0" borderId="0" xfId="0" applyNumberFormat="1" applyFont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ud-databa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UD Database"/>
      <sheetName val="CBA Breakdown"/>
      <sheetName val="Affordable Housing List"/>
      <sheetName val="Toplines"/>
    </sheetNames>
    <sheetDataSet>
      <sheetData sheetId="0"/>
      <sheetData sheetId="1">
        <row r="1">
          <cell r="A1" t="str">
            <v>PUD</v>
          </cell>
          <cell r="B1" t="str">
            <v>Listed Monetary Value</v>
          </cell>
        </row>
        <row r="2">
          <cell r="A2" t="str">
            <v>18-03</v>
          </cell>
          <cell r="B2">
            <v>25000</v>
          </cell>
        </row>
        <row r="3">
          <cell r="A3" t="str">
            <v>18-03</v>
          </cell>
          <cell r="B3">
            <v>5000</v>
          </cell>
        </row>
        <row r="4">
          <cell r="A4" t="str">
            <v>18-03</v>
          </cell>
          <cell r="B4">
            <v>35000</v>
          </cell>
        </row>
        <row r="5">
          <cell r="A5" t="str">
            <v>17-19</v>
          </cell>
          <cell r="B5">
            <v>2000</v>
          </cell>
        </row>
        <row r="6">
          <cell r="A6" t="str">
            <v>17-19</v>
          </cell>
          <cell r="B6">
            <v>100000</v>
          </cell>
        </row>
        <row r="7">
          <cell r="A7" t="str">
            <v>17-14</v>
          </cell>
          <cell r="B7">
            <v>30000</v>
          </cell>
        </row>
        <row r="8">
          <cell r="A8" t="str">
            <v>17-14</v>
          </cell>
          <cell r="B8">
            <v>75000</v>
          </cell>
        </row>
        <row r="9">
          <cell r="A9" t="str">
            <v>17-14</v>
          </cell>
          <cell r="B9">
            <v>10000</v>
          </cell>
        </row>
        <row r="10">
          <cell r="A10" t="str">
            <v>17-09</v>
          </cell>
          <cell r="B10">
            <v>165000</v>
          </cell>
        </row>
        <row r="11">
          <cell r="A11" t="str">
            <v>17-09</v>
          </cell>
          <cell r="B11">
            <v>80000</v>
          </cell>
        </row>
        <row r="12">
          <cell r="A12" t="str">
            <v>17-09</v>
          </cell>
          <cell r="B12">
            <v>27500</v>
          </cell>
        </row>
        <row r="13">
          <cell r="A13" t="str">
            <v>17-09</v>
          </cell>
          <cell r="B13">
            <v>350000</v>
          </cell>
        </row>
        <row r="14">
          <cell r="A14" t="str">
            <v>17-09</v>
          </cell>
          <cell r="B14">
            <v>8500</v>
          </cell>
        </row>
        <row r="15">
          <cell r="A15" t="str">
            <v>17-09</v>
          </cell>
          <cell r="B15">
            <v>12500</v>
          </cell>
        </row>
        <row r="16">
          <cell r="A16" t="str">
            <v>17-09</v>
          </cell>
          <cell r="B16">
            <v>11000</v>
          </cell>
        </row>
        <row r="17">
          <cell r="A17" t="str">
            <v>17-09</v>
          </cell>
          <cell r="B17">
            <v>3000</v>
          </cell>
        </row>
        <row r="18">
          <cell r="A18" t="str">
            <v>17-09</v>
          </cell>
          <cell r="B18">
            <v>40000</v>
          </cell>
        </row>
        <row r="19">
          <cell r="A19" t="str">
            <v>17-09</v>
          </cell>
          <cell r="B19">
            <v>27880</v>
          </cell>
        </row>
        <row r="20">
          <cell r="A20" t="str">
            <v>17-06</v>
          </cell>
          <cell r="B20">
            <v>50000</v>
          </cell>
        </row>
        <row r="21">
          <cell r="A21" t="str">
            <v>17-06</v>
          </cell>
          <cell r="B21">
            <v>10000</v>
          </cell>
        </row>
        <row r="22">
          <cell r="A22" t="str">
            <v>16-29</v>
          </cell>
          <cell r="B22">
            <v>125000</v>
          </cell>
        </row>
        <row r="23">
          <cell r="A23" t="str">
            <v>16-29</v>
          </cell>
          <cell r="B23">
            <v>250000</v>
          </cell>
        </row>
        <row r="24">
          <cell r="A24" t="str">
            <v>16-24</v>
          </cell>
          <cell r="B24">
            <v>100000</v>
          </cell>
        </row>
        <row r="25">
          <cell r="A25" t="str">
            <v>16-24</v>
          </cell>
          <cell r="B25">
            <v>25000</v>
          </cell>
        </row>
        <row r="26">
          <cell r="A26" t="str">
            <v>16-20</v>
          </cell>
          <cell r="B26">
            <v>47000</v>
          </cell>
        </row>
        <row r="27">
          <cell r="A27" t="str">
            <v>16-17</v>
          </cell>
          <cell r="B27">
            <v>25000</v>
          </cell>
        </row>
        <row r="28">
          <cell r="A28" t="str">
            <v>16-17</v>
          </cell>
          <cell r="B28">
            <v>63000</v>
          </cell>
        </row>
        <row r="29">
          <cell r="A29" t="str">
            <v>16-17</v>
          </cell>
          <cell r="B29">
            <v>10000</v>
          </cell>
        </row>
        <row r="30">
          <cell r="A30" t="str">
            <v>06-11O/06-12O</v>
          </cell>
          <cell r="B30">
            <v>350000</v>
          </cell>
        </row>
        <row r="31">
          <cell r="A31" t="str">
            <v>06-11O/06-12O</v>
          </cell>
          <cell r="B31">
            <v>150000</v>
          </cell>
        </row>
        <row r="32">
          <cell r="A32" t="str">
            <v>06-11O/06-12O</v>
          </cell>
          <cell r="B32">
            <v>30000</v>
          </cell>
        </row>
        <row r="33">
          <cell r="A33" t="str">
            <v>06-11O/06-12O</v>
          </cell>
          <cell r="B33">
            <v>36865</v>
          </cell>
        </row>
        <row r="34">
          <cell r="A34" t="str">
            <v>06-11O/06-12O</v>
          </cell>
          <cell r="B34">
            <v>8583719.4400000013</v>
          </cell>
        </row>
        <row r="35">
          <cell r="A35" t="str">
            <v>06-11O/06-12O</v>
          </cell>
        </row>
        <row r="36">
          <cell r="A36" t="str">
            <v>17-06</v>
          </cell>
          <cell r="B36">
            <v>10000</v>
          </cell>
        </row>
        <row r="37">
          <cell r="A37" t="str">
            <v>17-06</v>
          </cell>
          <cell r="B37">
            <v>10000</v>
          </cell>
        </row>
        <row r="38">
          <cell r="A38" t="str">
            <v>17-06</v>
          </cell>
          <cell r="B38">
            <v>20000</v>
          </cell>
        </row>
        <row r="39">
          <cell r="A39" t="str">
            <v>17-06</v>
          </cell>
          <cell r="B39">
            <v>10000</v>
          </cell>
        </row>
        <row r="40">
          <cell r="A40" t="str">
            <v>17-06</v>
          </cell>
          <cell r="B40">
            <v>2080</v>
          </cell>
        </row>
        <row r="41">
          <cell r="A41" t="str">
            <v>17-06</v>
          </cell>
          <cell r="B41">
            <v>2600</v>
          </cell>
        </row>
        <row r="42">
          <cell r="A42" t="str">
            <v>06-08</v>
          </cell>
          <cell r="B42">
            <v>50000</v>
          </cell>
        </row>
        <row r="43">
          <cell r="A43" t="str">
            <v>06-08</v>
          </cell>
          <cell r="B43">
            <v>40000</v>
          </cell>
        </row>
        <row r="44">
          <cell r="A44" t="str">
            <v>06-08</v>
          </cell>
          <cell r="B44">
            <v>40000</v>
          </cell>
        </row>
        <row r="45">
          <cell r="A45" t="str">
            <v>06-08</v>
          </cell>
          <cell r="B45">
            <v>12000</v>
          </cell>
        </row>
        <row r="46">
          <cell r="A46" t="str">
            <v>06-08</v>
          </cell>
          <cell r="B46">
            <v>10000</v>
          </cell>
        </row>
        <row r="47">
          <cell r="A47" t="str">
            <v>06-08</v>
          </cell>
          <cell r="B47">
            <v>2000</v>
          </cell>
        </row>
        <row r="48">
          <cell r="A48" t="str">
            <v>06-08</v>
          </cell>
          <cell r="B48">
            <v>4000</v>
          </cell>
        </row>
        <row r="49">
          <cell r="A49" t="str">
            <v>06-08</v>
          </cell>
          <cell r="B49">
            <v>25000</v>
          </cell>
        </row>
        <row r="50">
          <cell r="A50" t="str">
            <v>06-04</v>
          </cell>
          <cell r="B50">
            <v>1000</v>
          </cell>
        </row>
        <row r="51">
          <cell r="A51" t="str">
            <v>06-04</v>
          </cell>
          <cell r="B51">
            <v>6600</v>
          </cell>
        </row>
        <row r="52">
          <cell r="A52" t="str">
            <v>06-04</v>
          </cell>
          <cell r="B52">
            <v>6600</v>
          </cell>
        </row>
        <row r="53">
          <cell r="A53" t="str">
            <v>06-04</v>
          </cell>
          <cell r="B53">
            <v>6600</v>
          </cell>
        </row>
        <row r="54">
          <cell r="A54" t="str">
            <v>06-04</v>
          </cell>
          <cell r="B54">
            <v>6600</v>
          </cell>
        </row>
        <row r="55">
          <cell r="A55" t="str">
            <v>06-04</v>
          </cell>
          <cell r="B55">
            <v>6600</v>
          </cell>
        </row>
        <row r="56">
          <cell r="A56" t="str">
            <v>06-04</v>
          </cell>
          <cell r="B56">
            <v>1000</v>
          </cell>
        </row>
        <row r="57">
          <cell r="A57" t="str">
            <v>06-04</v>
          </cell>
          <cell r="B57">
            <v>6600</v>
          </cell>
        </row>
        <row r="58">
          <cell r="A58" t="str">
            <v>06-04</v>
          </cell>
          <cell r="B58">
            <v>35000</v>
          </cell>
        </row>
        <row r="59">
          <cell r="A59" t="str">
            <v>06-04</v>
          </cell>
          <cell r="B59">
            <v>6600</v>
          </cell>
        </row>
        <row r="60">
          <cell r="A60" t="str">
            <v>06-04</v>
          </cell>
          <cell r="B60">
            <v>6600</v>
          </cell>
        </row>
        <row r="61">
          <cell r="A61" t="str">
            <v>06-04</v>
          </cell>
          <cell r="B61">
            <v>6600</v>
          </cell>
        </row>
        <row r="62">
          <cell r="A62" t="str">
            <v>06-04</v>
          </cell>
          <cell r="B62">
            <v>6600</v>
          </cell>
        </row>
        <row r="63">
          <cell r="A63" t="str">
            <v>06-04</v>
          </cell>
          <cell r="B63">
            <v>6600</v>
          </cell>
        </row>
        <row r="64">
          <cell r="A64" t="str">
            <v>06-02</v>
          </cell>
          <cell r="B64">
            <v>50000</v>
          </cell>
        </row>
        <row r="65">
          <cell r="A65" t="str">
            <v>06-02</v>
          </cell>
          <cell r="B65">
            <v>75000</v>
          </cell>
        </row>
        <row r="66">
          <cell r="A66" t="str">
            <v>06-02</v>
          </cell>
          <cell r="B66">
            <v>30000</v>
          </cell>
        </row>
        <row r="67">
          <cell r="A67" t="str">
            <v>16-13</v>
          </cell>
          <cell r="B67">
            <v>625000</v>
          </cell>
        </row>
        <row r="68">
          <cell r="A68" t="str">
            <v>16-13</v>
          </cell>
          <cell r="B68">
            <v>10000</v>
          </cell>
        </row>
        <row r="69">
          <cell r="A69" t="str">
            <v>16-09</v>
          </cell>
          <cell r="B69">
            <v>100000</v>
          </cell>
        </row>
        <row r="70">
          <cell r="A70" t="str">
            <v>16-10</v>
          </cell>
          <cell r="B70">
            <v>80000</v>
          </cell>
        </row>
        <row r="71">
          <cell r="A71" t="str">
            <v>16-10</v>
          </cell>
          <cell r="B71">
            <v>750000</v>
          </cell>
        </row>
        <row r="72">
          <cell r="A72" t="str">
            <v>16-10</v>
          </cell>
          <cell r="B72">
            <v>648000</v>
          </cell>
        </row>
        <row r="73">
          <cell r="A73" t="str">
            <v>15-32</v>
          </cell>
          <cell r="B73">
            <v>10000</v>
          </cell>
        </row>
        <row r="74">
          <cell r="A74" t="str">
            <v>15-32</v>
          </cell>
          <cell r="B74">
            <v>2500</v>
          </cell>
        </row>
        <row r="75">
          <cell r="A75" t="str">
            <v>16-07</v>
          </cell>
          <cell r="B75">
            <v>20000</v>
          </cell>
        </row>
        <row r="76">
          <cell r="A76" t="str">
            <v>16-07</v>
          </cell>
          <cell r="B76">
            <v>15000</v>
          </cell>
        </row>
        <row r="77">
          <cell r="A77" t="str">
            <v>16-07</v>
          </cell>
          <cell r="B77">
            <v>15000</v>
          </cell>
        </row>
        <row r="78">
          <cell r="A78" t="str">
            <v>16-07</v>
          </cell>
          <cell r="B78">
            <v>15000</v>
          </cell>
        </row>
        <row r="79">
          <cell r="A79" t="str">
            <v>16-07</v>
          </cell>
          <cell r="B79">
            <v>15000</v>
          </cell>
        </row>
        <row r="80">
          <cell r="A80" t="str">
            <v>16-07</v>
          </cell>
          <cell r="B80">
            <v>15000</v>
          </cell>
        </row>
        <row r="81">
          <cell r="A81" t="str">
            <v>16-07</v>
          </cell>
          <cell r="B81">
            <v>15000</v>
          </cell>
        </row>
        <row r="82">
          <cell r="A82" t="str">
            <v>16-07</v>
          </cell>
          <cell r="B82">
            <v>15000</v>
          </cell>
        </row>
        <row r="83">
          <cell r="A83" t="str">
            <v>15-28</v>
          </cell>
          <cell r="B83">
            <v>100000</v>
          </cell>
        </row>
        <row r="84">
          <cell r="A84" t="str">
            <v>15-28</v>
          </cell>
          <cell r="B84">
            <v>50000</v>
          </cell>
        </row>
        <row r="85">
          <cell r="A85" t="str">
            <v>15-33</v>
          </cell>
          <cell r="B85">
            <v>20000</v>
          </cell>
        </row>
        <row r="86">
          <cell r="A86" t="str">
            <v>15-33</v>
          </cell>
          <cell r="B86">
            <v>65000</v>
          </cell>
        </row>
        <row r="87">
          <cell r="A87" t="str">
            <v>15-27</v>
          </cell>
          <cell r="B87">
            <v>10000</v>
          </cell>
        </row>
        <row r="88">
          <cell r="A88" t="str">
            <v>15-27</v>
          </cell>
          <cell r="B88">
            <v>262000</v>
          </cell>
        </row>
        <row r="89">
          <cell r="A89" t="str">
            <v>15-27</v>
          </cell>
          <cell r="B89">
            <v>150000</v>
          </cell>
        </row>
        <row r="90">
          <cell r="A90" t="str">
            <v>15-31</v>
          </cell>
          <cell r="B90">
            <v>76075</v>
          </cell>
        </row>
        <row r="91">
          <cell r="A91" t="str">
            <v>15-24</v>
          </cell>
          <cell r="B91">
            <v>50000</v>
          </cell>
        </row>
        <row r="92">
          <cell r="A92" t="str">
            <v>15-24</v>
          </cell>
          <cell r="B92">
            <v>20000</v>
          </cell>
        </row>
        <row r="93">
          <cell r="A93" t="str">
            <v>15-24</v>
          </cell>
          <cell r="B93">
            <v>150000</v>
          </cell>
        </row>
        <row r="94">
          <cell r="A94" t="str">
            <v>15-15</v>
          </cell>
          <cell r="B94">
            <v>20000</v>
          </cell>
        </row>
        <row r="95">
          <cell r="A95" t="str">
            <v>15-15</v>
          </cell>
          <cell r="B95">
            <v>50000</v>
          </cell>
        </row>
        <row r="96">
          <cell r="A96" t="str">
            <v>15-15</v>
          </cell>
          <cell r="B96">
            <v>15000</v>
          </cell>
        </row>
        <row r="97">
          <cell r="A97" t="str">
            <v>15-15</v>
          </cell>
          <cell r="B97">
            <v>115000</v>
          </cell>
        </row>
        <row r="98">
          <cell r="A98" t="str">
            <v>15-15</v>
          </cell>
          <cell r="B98">
            <v>88000</v>
          </cell>
        </row>
        <row r="99">
          <cell r="A99" t="str">
            <v>15-20</v>
          </cell>
          <cell r="B99">
            <v>620000</v>
          </cell>
        </row>
        <row r="100">
          <cell r="A100" t="str">
            <v>15-20</v>
          </cell>
          <cell r="B100">
            <v>725000</v>
          </cell>
        </row>
        <row r="101">
          <cell r="A101" t="str">
            <v>15-20</v>
          </cell>
          <cell r="B101">
            <v>475000</v>
          </cell>
        </row>
        <row r="102">
          <cell r="A102" t="str">
            <v>15-20</v>
          </cell>
          <cell r="B102">
            <v>370000</v>
          </cell>
        </row>
        <row r="103">
          <cell r="A103" t="str">
            <v>15-20</v>
          </cell>
          <cell r="B103">
            <v>575000</v>
          </cell>
        </row>
        <row r="104">
          <cell r="A104" t="str">
            <v>15-20</v>
          </cell>
          <cell r="B104">
            <v>275000</v>
          </cell>
        </row>
        <row r="105">
          <cell r="A105" t="str">
            <v>15-20</v>
          </cell>
          <cell r="B105">
            <v>92000</v>
          </cell>
        </row>
        <row r="106">
          <cell r="A106" t="str">
            <v>15-20</v>
          </cell>
          <cell r="B106">
            <v>50000</v>
          </cell>
        </row>
        <row r="107">
          <cell r="A107" t="str">
            <v>15-20</v>
          </cell>
          <cell r="B107">
            <v>110000</v>
          </cell>
        </row>
        <row r="108">
          <cell r="A108" t="str">
            <v>15-20</v>
          </cell>
          <cell r="B108">
            <v>222000</v>
          </cell>
        </row>
        <row r="109">
          <cell r="A109" t="str">
            <v>15-20</v>
          </cell>
          <cell r="B109">
            <v>28000</v>
          </cell>
        </row>
        <row r="110">
          <cell r="A110" t="str">
            <v>15-20</v>
          </cell>
          <cell r="B110">
            <v>60000</v>
          </cell>
        </row>
        <row r="111">
          <cell r="A111" t="str">
            <v>15-20</v>
          </cell>
          <cell r="B111">
            <v>25000</v>
          </cell>
        </row>
        <row r="112">
          <cell r="A112" t="str">
            <v>15-20</v>
          </cell>
          <cell r="B112">
            <v>15000</v>
          </cell>
        </row>
        <row r="113">
          <cell r="A113" t="str">
            <v>15-20</v>
          </cell>
          <cell r="B113">
            <v>25000</v>
          </cell>
        </row>
        <row r="114">
          <cell r="A114" t="str">
            <v>15-20</v>
          </cell>
          <cell r="B114">
            <v>10000</v>
          </cell>
        </row>
        <row r="115">
          <cell r="A115" t="str">
            <v>15-20</v>
          </cell>
          <cell r="B115">
            <v>15000</v>
          </cell>
        </row>
        <row r="116">
          <cell r="A116" t="str">
            <v>15-18</v>
          </cell>
          <cell r="B116">
            <v>359604</v>
          </cell>
        </row>
        <row r="117">
          <cell r="A117" t="str">
            <v>15-18</v>
          </cell>
          <cell r="B117">
            <v>200000</v>
          </cell>
        </row>
        <row r="118">
          <cell r="A118" t="str">
            <v>12-14</v>
          </cell>
          <cell r="B118">
            <v>200000</v>
          </cell>
        </row>
        <row r="119">
          <cell r="A119" t="str">
            <v>12-14</v>
          </cell>
        </row>
        <row r="120">
          <cell r="A120" t="str">
            <v>12-14</v>
          </cell>
        </row>
        <row r="121">
          <cell r="A121" t="str">
            <v>12-14</v>
          </cell>
        </row>
        <row r="122">
          <cell r="A122" t="str">
            <v>12-14</v>
          </cell>
        </row>
        <row r="123">
          <cell r="A123" t="str">
            <v>12-14</v>
          </cell>
        </row>
        <row r="124">
          <cell r="A124" t="str">
            <v>12-02</v>
          </cell>
          <cell r="B124">
            <v>160000</v>
          </cell>
        </row>
        <row r="125">
          <cell r="A125" t="str">
            <v>12-02</v>
          </cell>
          <cell r="B125">
            <v>265000</v>
          </cell>
        </row>
        <row r="126">
          <cell r="A126" t="str">
            <v>12-02</v>
          </cell>
        </row>
        <row r="127">
          <cell r="A127" t="str">
            <v>12-02</v>
          </cell>
          <cell r="B127">
            <v>220000</v>
          </cell>
        </row>
        <row r="128">
          <cell r="A128" t="str">
            <v>12-02</v>
          </cell>
          <cell r="B128">
            <v>65000</v>
          </cell>
        </row>
        <row r="129">
          <cell r="A129" t="str">
            <v>15-13</v>
          </cell>
          <cell r="B129">
            <v>1000</v>
          </cell>
        </row>
        <row r="130">
          <cell r="A130" t="str">
            <v>15-13</v>
          </cell>
          <cell r="B130">
            <v>40000</v>
          </cell>
        </row>
        <row r="131">
          <cell r="A131" t="str">
            <v>15-13</v>
          </cell>
          <cell r="B131">
            <v>30000</v>
          </cell>
        </row>
        <row r="132">
          <cell r="A132" t="str">
            <v>15-12</v>
          </cell>
          <cell r="B132">
            <v>50000</v>
          </cell>
        </row>
        <row r="133">
          <cell r="A133" t="str">
            <v>15-12</v>
          </cell>
          <cell r="B133">
            <v>5000</v>
          </cell>
        </row>
        <row r="134">
          <cell r="A134" t="str">
            <v>15-05</v>
          </cell>
          <cell r="B134">
            <v>25000</v>
          </cell>
        </row>
        <row r="135">
          <cell r="A135" t="str">
            <v>15-04</v>
          </cell>
          <cell r="B135">
            <v>4000</v>
          </cell>
        </row>
        <row r="136">
          <cell r="A136" t="str">
            <v>15-04</v>
          </cell>
          <cell r="B136">
            <v>40000</v>
          </cell>
        </row>
        <row r="137">
          <cell r="A137" t="str">
            <v>15-04</v>
          </cell>
          <cell r="B137">
            <v>35000</v>
          </cell>
        </row>
        <row r="138">
          <cell r="A138" t="str">
            <v>15-03</v>
          </cell>
          <cell r="B138">
            <v>200000</v>
          </cell>
        </row>
        <row r="139">
          <cell r="A139" t="str">
            <v>15-04</v>
          </cell>
          <cell r="B139">
            <v>12500</v>
          </cell>
        </row>
        <row r="140">
          <cell r="A140" t="str">
            <v>15-04</v>
          </cell>
          <cell r="B140">
            <v>5000</v>
          </cell>
        </row>
        <row r="141">
          <cell r="A141" t="str">
            <v>15-04</v>
          </cell>
          <cell r="B141">
            <v>10000</v>
          </cell>
        </row>
        <row r="142">
          <cell r="A142" t="str">
            <v>15-02</v>
          </cell>
          <cell r="B142">
            <v>20000</v>
          </cell>
        </row>
        <row r="143">
          <cell r="A143" t="str">
            <v>15-02</v>
          </cell>
          <cell r="B143">
            <v>10000</v>
          </cell>
        </row>
        <row r="144">
          <cell r="A144" t="str">
            <v>15-02</v>
          </cell>
          <cell r="B144">
            <v>5000</v>
          </cell>
        </row>
        <row r="145">
          <cell r="A145" t="str">
            <v>15-02</v>
          </cell>
          <cell r="B145">
            <v>2500</v>
          </cell>
        </row>
        <row r="146">
          <cell r="A146" t="str">
            <v>15-01</v>
          </cell>
          <cell r="B146">
            <v>600000</v>
          </cell>
        </row>
        <row r="147">
          <cell r="A147" t="str">
            <v>15-01</v>
          </cell>
          <cell r="B147">
            <v>10000</v>
          </cell>
        </row>
        <row r="148">
          <cell r="A148" t="str">
            <v>76-3</v>
          </cell>
        </row>
        <row r="149">
          <cell r="A149" t="str">
            <v>76-3</v>
          </cell>
        </row>
        <row r="150">
          <cell r="A150" t="str">
            <v>76-3</v>
          </cell>
        </row>
        <row r="151">
          <cell r="A151" t="str">
            <v>78-17</v>
          </cell>
        </row>
        <row r="152">
          <cell r="A152" t="str">
            <v>78-17</v>
          </cell>
        </row>
        <row r="153">
          <cell r="A153" t="str">
            <v>14-28</v>
          </cell>
          <cell r="B153">
            <v>110308</v>
          </cell>
        </row>
        <row r="154">
          <cell r="A154" t="str">
            <v>14-19</v>
          </cell>
          <cell r="B154">
            <v>50000</v>
          </cell>
        </row>
        <row r="155">
          <cell r="A155" t="str">
            <v>14-19</v>
          </cell>
          <cell r="B155">
            <v>20000</v>
          </cell>
        </row>
        <row r="156">
          <cell r="A156" t="str">
            <v>14-19</v>
          </cell>
          <cell r="B156">
            <v>10000</v>
          </cell>
        </row>
        <row r="157">
          <cell r="A157" t="str">
            <v>14-19</v>
          </cell>
          <cell r="B157">
            <v>25000</v>
          </cell>
        </row>
        <row r="158">
          <cell r="A158" t="str">
            <v>14-19</v>
          </cell>
          <cell r="B158">
            <v>50000</v>
          </cell>
        </row>
        <row r="159">
          <cell r="A159" t="str">
            <v>14-19</v>
          </cell>
          <cell r="B159">
            <v>140000</v>
          </cell>
        </row>
        <row r="160">
          <cell r="A160" t="str">
            <v>14-14</v>
          </cell>
          <cell r="B160">
            <v>30000</v>
          </cell>
        </row>
        <row r="161">
          <cell r="A161" t="str">
            <v>14-14</v>
          </cell>
          <cell r="B161">
            <v>75000</v>
          </cell>
        </row>
        <row r="162">
          <cell r="A162" t="str">
            <v>14-09</v>
          </cell>
          <cell r="B162">
            <v>20000</v>
          </cell>
        </row>
        <row r="163">
          <cell r="A163" t="str">
            <v>14-09</v>
          </cell>
          <cell r="B163">
            <v>20000</v>
          </cell>
        </row>
        <row r="164">
          <cell r="A164" t="str">
            <v>14-09</v>
          </cell>
          <cell r="B164">
            <v>5000</v>
          </cell>
        </row>
        <row r="165">
          <cell r="A165" t="str">
            <v>14-12</v>
          </cell>
          <cell r="B165">
            <v>15000</v>
          </cell>
        </row>
        <row r="166">
          <cell r="A166" t="str">
            <v>14-12</v>
          </cell>
          <cell r="B166">
            <v>14000</v>
          </cell>
        </row>
        <row r="167">
          <cell r="A167" t="str">
            <v>14-07B</v>
          </cell>
          <cell r="B167">
            <v>20000</v>
          </cell>
        </row>
        <row r="168">
          <cell r="A168" t="str">
            <v>14-04A</v>
          </cell>
          <cell r="B168">
            <v>50000</v>
          </cell>
        </row>
        <row r="169">
          <cell r="A169" t="str">
            <v>14-04A</v>
          </cell>
          <cell r="B169">
            <v>105881</v>
          </cell>
        </row>
        <row r="170">
          <cell r="A170" t="str">
            <v>14-01A</v>
          </cell>
          <cell r="B170">
            <v>50000</v>
          </cell>
        </row>
        <row r="171">
          <cell r="A171" t="str">
            <v>14-04A</v>
          </cell>
          <cell r="B171">
            <v>99224</v>
          </cell>
        </row>
        <row r="172">
          <cell r="A172" t="str">
            <v>14-04A</v>
          </cell>
          <cell r="B172">
            <v>2326903</v>
          </cell>
        </row>
        <row r="173">
          <cell r="A173" t="str">
            <v>13-14</v>
          </cell>
          <cell r="B173">
            <v>225000</v>
          </cell>
        </row>
        <row r="174">
          <cell r="A174" t="str">
            <v>13-14</v>
          </cell>
          <cell r="B174">
            <v>500000</v>
          </cell>
        </row>
        <row r="175">
          <cell r="A175" t="str">
            <v>13-14</v>
          </cell>
          <cell r="B175">
            <v>750000</v>
          </cell>
        </row>
        <row r="176">
          <cell r="A176" t="str">
            <v>13-14</v>
          </cell>
          <cell r="B176">
            <v>300000</v>
          </cell>
        </row>
        <row r="177">
          <cell r="A177" t="str">
            <v>13-14</v>
          </cell>
          <cell r="B177">
            <v>700000</v>
          </cell>
        </row>
        <row r="178">
          <cell r="A178" t="str">
            <v>13-14</v>
          </cell>
          <cell r="B178">
            <v>125000</v>
          </cell>
        </row>
        <row r="179">
          <cell r="A179" t="str">
            <v>13-14</v>
          </cell>
          <cell r="B179">
            <v>500000</v>
          </cell>
        </row>
        <row r="180">
          <cell r="A180" t="str">
            <v>13-14</v>
          </cell>
          <cell r="B180">
            <v>150000</v>
          </cell>
        </row>
        <row r="181">
          <cell r="A181" t="str">
            <v>13-12A</v>
          </cell>
          <cell r="B181">
            <v>25000</v>
          </cell>
        </row>
        <row r="182">
          <cell r="A182" t="str">
            <v>13-12A</v>
          </cell>
          <cell r="B182">
            <v>1400000</v>
          </cell>
        </row>
        <row r="183">
          <cell r="A183" t="str">
            <v>13-12A</v>
          </cell>
          <cell r="B183">
            <v>250000</v>
          </cell>
        </row>
        <row r="184">
          <cell r="A184" t="str">
            <v>13-12A</v>
          </cell>
          <cell r="B184">
            <v>250000</v>
          </cell>
        </row>
        <row r="185">
          <cell r="A185" t="str">
            <v>13-12A</v>
          </cell>
          <cell r="B185">
            <v>1000000</v>
          </cell>
        </row>
        <row r="186">
          <cell r="A186" t="str">
            <v>13-12A</v>
          </cell>
          <cell r="B186">
            <v>250000</v>
          </cell>
        </row>
        <row r="187">
          <cell r="A187" t="str">
            <v>13-12A</v>
          </cell>
          <cell r="B187">
            <v>750000</v>
          </cell>
        </row>
        <row r="188">
          <cell r="A188" t="str">
            <v>13-12A</v>
          </cell>
          <cell r="B188">
            <v>2500</v>
          </cell>
        </row>
        <row r="189">
          <cell r="A189" t="str">
            <v>13-12A</v>
          </cell>
          <cell r="B189">
            <v>750000</v>
          </cell>
        </row>
        <row r="190">
          <cell r="A190" t="str">
            <v>13-12A</v>
          </cell>
          <cell r="B190">
            <v>30000</v>
          </cell>
        </row>
        <row r="191">
          <cell r="A191" t="str">
            <v>13-12A</v>
          </cell>
          <cell r="B191">
            <v>150000</v>
          </cell>
        </row>
        <row r="192">
          <cell r="A192" t="str">
            <v>13-12A</v>
          </cell>
          <cell r="B192">
            <v>75000</v>
          </cell>
        </row>
        <row r="193">
          <cell r="A193" t="str">
            <v>13-12A</v>
          </cell>
          <cell r="B193">
            <v>524000</v>
          </cell>
        </row>
        <row r="194">
          <cell r="A194" t="str">
            <v>13-08</v>
          </cell>
          <cell r="B194">
            <v>350000</v>
          </cell>
        </row>
        <row r="195">
          <cell r="A195" t="str">
            <v>13-08</v>
          </cell>
          <cell r="B195">
            <v>200000</v>
          </cell>
        </row>
        <row r="196">
          <cell r="A196" t="str">
            <v>13-08</v>
          </cell>
          <cell r="B196">
            <v>75000</v>
          </cell>
        </row>
        <row r="197">
          <cell r="A197" t="str">
            <v>13-08</v>
          </cell>
          <cell r="B197">
            <v>75000</v>
          </cell>
        </row>
        <row r="198">
          <cell r="A198" t="str">
            <v>13-08</v>
          </cell>
          <cell r="B198">
            <v>75000</v>
          </cell>
        </row>
        <row r="199">
          <cell r="A199" t="str">
            <v>13-08</v>
          </cell>
          <cell r="B199">
            <v>75000</v>
          </cell>
        </row>
        <row r="200">
          <cell r="A200" t="str">
            <v>13-04</v>
          </cell>
          <cell r="B200">
            <v>579587.24</v>
          </cell>
        </row>
        <row r="201">
          <cell r="A201" t="str">
            <v>13-04</v>
          </cell>
          <cell r="B201">
            <v>20000</v>
          </cell>
        </row>
        <row r="202">
          <cell r="A202" t="str">
            <v>13-04</v>
          </cell>
          <cell r="B202">
            <v>20000</v>
          </cell>
        </row>
        <row r="203">
          <cell r="A203" t="str">
            <v>13-04</v>
          </cell>
          <cell r="B203">
            <v>10000</v>
          </cell>
        </row>
        <row r="204">
          <cell r="A204" t="str">
            <v>12-20</v>
          </cell>
          <cell r="B204">
            <v>55000</v>
          </cell>
        </row>
        <row r="205">
          <cell r="A205" t="str">
            <v>12-20</v>
          </cell>
          <cell r="B205">
            <v>30000</v>
          </cell>
        </row>
        <row r="206">
          <cell r="A206" t="str">
            <v>12-20</v>
          </cell>
          <cell r="B206">
            <v>30000</v>
          </cell>
        </row>
        <row r="207">
          <cell r="A207" t="str">
            <v>12-20</v>
          </cell>
          <cell r="B207">
            <v>10000</v>
          </cell>
        </row>
        <row r="208">
          <cell r="A208" t="str">
            <v>12-20</v>
          </cell>
          <cell r="B208">
            <v>150000</v>
          </cell>
        </row>
        <row r="209">
          <cell r="A209" t="str">
            <v>12-20</v>
          </cell>
          <cell r="B209">
            <v>150000</v>
          </cell>
        </row>
        <row r="210">
          <cell r="A210" t="str">
            <v>12-20</v>
          </cell>
          <cell r="B210">
            <v>150000</v>
          </cell>
        </row>
        <row r="211">
          <cell r="A211" t="str">
            <v>12-20</v>
          </cell>
          <cell r="B211">
            <v>15000</v>
          </cell>
        </row>
        <row r="212">
          <cell r="A212" t="str">
            <v>12-20</v>
          </cell>
          <cell r="B212">
            <v>10000</v>
          </cell>
        </row>
        <row r="213">
          <cell r="A213" t="str">
            <v>12-20</v>
          </cell>
          <cell r="B213">
            <v>0</v>
          </cell>
        </row>
        <row r="214">
          <cell r="A214" t="str">
            <v>12-18</v>
          </cell>
          <cell r="B214">
            <v>70000</v>
          </cell>
        </row>
        <row r="215">
          <cell r="A215" t="str">
            <v>12-18</v>
          </cell>
          <cell r="B215">
            <v>0</v>
          </cell>
        </row>
        <row r="216">
          <cell r="A216" t="str">
            <v>12-18</v>
          </cell>
          <cell r="B216">
            <v>0</v>
          </cell>
        </row>
        <row r="217">
          <cell r="A217" t="str">
            <v>12-18</v>
          </cell>
          <cell r="B217">
            <v>75000</v>
          </cell>
        </row>
        <row r="218">
          <cell r="A218" t="str">
            <v>12-18</v>
          </cell>
          <cell r="B218">
            <v>50000</v>
          </cell>
        </row>
        <row r="219">
          <cell r="A219" t="str">
            <v>12-16</v>
          </cell>
          <cell r="B219">
            <v>0</v>
          </cell>
        </row>
        <row r="220">
          <cell r="A220" t="str">
            <v>12-16</v>
          </cell>
          <cell r="B220">
            <v>0</v>
          </cell>
        </row>
        <row r="221">
          <cell r="A221" t="str">
            <v>12-16</v>
          </cell>
          <cell r="B221">
            <v>0</v>
          </cell>
        </row>
        <row r="222">
          <cell r="A222" t="str">
            <v>12-16</v>
          </cell>
          <cell r="B222">
            <v>0</v>
          </cell>
        </row>
        <row r="223">
          <cell r="A223" t="str">
            <v>11-25</v>
          </cell>
          <cell r="B223">
            <v>0</v>
          </cell>
        </row>
        <row r="224">
          <cell r="A224" t="str">
            <v>11-25</v>
          </cell>
          <cell r="B224">
            <v>0</v>
          </cell>
        </row>
        <row r="225">
          <cell r="A225" t="str">
            <v>11-25</v>
          </cell>
          <cell r="B225">
            <v>0</v>
          </cell>
        </row>
        <row r="226">
          <cell r="A226" t="str">
            <v>11-25</v>
          </cell>
          <cell r="B226">
            <v>0</v>
          </cell>
        </row>
        <row r="227">
          <cell r="A227" t="str">
            <v>11-25</v>
          </cell>
          <cell r="B227">
            <v>50000</v>
          </cell>
        </row>
        <row r="228">
          <cell r="A228" t="str">
            <v>11-25</v>
          </cell>
          <cell r="B228">
            <v>0</v>
          </cell>
        </row>
        <row r="229">
          <cell r="A229" t="str">
            <v>11-25</v>
          </cell>
          <cell r="B229">
            <v>0</v>
          </cell>
        </row>
        <row r="230">
          <cell r="A230" t="str">
            <v>11-25</v>
          </cell>
          <cell r="B230">
            <v>0</v>
          </cell>
        </row>
        <row r="231">
          <cell r="A231" t="str">
            <v>11-25</v>
          </cell>
          <cell r="B231">
            <v>0</v>
          </cell>
        </row>
        <row r="232">
          <cell r="A232" t="str">
            <v>11-24</v>
          </cell>
          <cell r="B232">
            <v>0</v>
          </cell>
        </row>
        <row r="233">
          <cell r="A233" t="str">
            <v>11-24</v>
          </cell>
          <cell r="B233">
            <v>0</v>
          </cell>
        </row>
        <row r="234">
          <cell r="A234" t="str">
            <v>11-24</v>
          </cell>
          <cell r="B234">
            <v>0</v>
          </cell>
        </row>
        <row r="235">
          <cell r="A235" t="str">
            <v>11-24</v>
          </cell>
          <cell r="B235">
            <v>0</v>
          </cell>
        </row>
        <row r="236">
          <cell r="A236" t="str">
            <v>11-24</v>
          </cell>
          <cell r="B236">
            <v>0</v>
          </cell>
        </row>
        <row r="237">
          <cell r="A237" t="str">
            <v>11-24</v>
          </cell>
          <cell r="B237">
            <v>0</v>
          </cell>
        </row>
        <row r="238">
          <cell r="A238" t="str">
            <v>11-24</v>
          </cell>
          <cell r="B238">
            <v>0</v>
          </cell>
        </row>
        <row r="239">
          <cell r="A239" t="str">
            <v>11-24</v>
          </cell>
          <cell r="B239">
            <v>50000</v>
          </cell>
        </row>
        <row r="240">
          <cell r="A240" t="str">
            <v>11-24</v>
          </cell>
          <cell r="B240">
            <v>75000</v>
          </cell>
        </row>
        <row r="241">
          <cell r="A241" t="str">
            <v>11-17</v>
          </cell>
          <cell r="B241">
            <v>0</v>
          </cell>
        </row>
        <row r="242">
          <cell r="A242" t="str">
            <v>11-17</v>
          </cell>
          <cell r="B242">
            <v>100000</v>
          </cell>
        </row>
        <row r="243">
          <cell r="A243" t="str">
            <v>11-17</v>
          </cell>
          <cell r="B243">
            <v>150000</v>
          </cell>
        </row>
        <row r="244">
          <cell r="A244" t="str">
            <v>11-17</v>
          </cell>
        </row>
        <row r="245">
          <cell r="A245" t="str">
            <v>11-17</v>
          </cell>
        </row>
        <row r="246">
          <cell r="A246" t="str">
            <v>11-17</v>
          </cell>
        </row>
        <row r="247">
          <cell r="A247" t="str">
            <v>11-17</v>
          </cell>
          <cell r="B247">
            <v>480000</v>
          </cell>
        </row>
        <row r="248">
          <cell r="A248" t="str">
            <v>11-17</v>
          </cell>
          <cell r="B248">
            <v>35000</v>
          </cell>
        </row>
        <row r="249">
          <cell r="A249" t="str">
            <v>11-17</v>
          </cell>
          <cell r="B249">
            <v>41413</v>
          </cell>
        </row>
        <row r="250">
          <cell r="A250" t="str">
            <v>11-17</v>
          </cell>
          <cell r="B250">
            <v>50000</v>
          </cell>
        </row>
        <row r="251">
          <cell r="A251" t="str">
            <v>11-17</v>
          </cell>
          <cell r="B251">
            <v>20000</v>
          </cell>
        </row>
        <row r="252">
          <cell r="A252" t="str">
            <v>11-17</v>
          </cell>
          <cell r="B252">
            <v>35000</v>
          </cell>
        </row>
        <row r="253">
          <cell r="A253" t="str">
            <v>11-17</v>
          </cell>
          <cell r="B253">
            <v>200000</v>
          </cell>
        </row>
        <row r="254">
          <cell r="A254" t="str">
            <v>11-13A</v>
          </cell>
          <cell r="B254">
            <v>0</v>
          </cell>
        </row>
        <row r="255">
          <cell r="A255" t="str">
            <v>11-13A</v>
          </cell>
          <cell r="B255">
            <v>0</v>
          </cell>
        </row>
        <row r="256">
          <cell r="A256" t="str">
            <v>11-13A</v>
          </cell>
          <cell r="B256">
            <v>5000</v>
          </cell>
        </row>
        <row r="257">
          <cell r="A257" t="str">
            <v>11-13A</v>
          </cell>
          <cell r="B257">
            <v>0</v>
          </cell>
        </row>
        <row r="258">
          <cell r="A258" t="str">
            <v>11-13A</v>
          </cell>
          <cell r="B258">
            <v>20000</v>
          </cell>
        </row>
        <row r="259">
          <cell r="A259" t="str">
            <v>11-13A</v>
          </cell>
          <cell r="B259">
            <v>0</v>
          </cell>
        </row>
        <row r="260">
          <cell r="A260" t="str">
            <v>11-13A</v>
          </cell>
          <cell r="B260">
            <v>0</v>
          </cell>
        </row>
        <row r="261">
          <cell r="A261" t="str">
            <v>11-12</v>
          </cell>
          <cell r="B261">
            <v>2500</v>
          </cell>
        </row>
        <row r="262">
          <cell r="A262" t="str">
            <v>11-12</v>
          </cell>
          <cell r="B262">
            <v>0</v>
          </cell>
        </row>
        <row r="263">
          <cell r="A263" t="str">
            <v>11-12</v>
          </cell>
          <cell r="B263">
            <v>0</v>
          </cell>
        </row>
        <row r="264">
          <cell r="A264" t="str">
            <v>11-12</v>
          </cell>
          <cell r="B264">
            <v>20000000</v>
          </cell>
        </row>
        <row r="265">
          <cell r="A265" t="str">
            <v>11-12</v>
          </cell>
          <cell r="B265">
            <v>0</v>
          </cell>
        </row>
        <row r="266">
          <cell r="A266" t="str">
            <v>11-09</v>
          </cell>
          <cell r="B266">
            <v>0</v>
          </cell>
        </row>
        <row r="267">
          <cell r="A267" t="str">
            <v>11-09</v>
          </cell>
          <cell r="B267">
            <v>0</v>
          </cell>
        </row>
        <row r="268">
          <cell r="A268" t="str">
            <v>11-09</v>
          </cell>
          <cell r="B268">
            <v>0</v>
          </cell>
        </row>
        <row r="269">
          <cell r="A269" t="str">
            <v>11-09</v>
          </cell>
          <cell r="B269">
            <v>0</v>
          </cell>
        </row>
        <row r="270">
          <cell r="A270" t="str">
            <v>11-08</v>
          </cell>
          <cell r="B270">
            <v>250000</v>
          </cell>
        </row>
        <row r="271">
          <cell r="A271" t="str">
            <v>11-08</v>
          </cell>
          <cell r="B271">
            <v>120000</v>
          </cell>
        </row>
        <row r="272">
          <cell r="A272" t="str">
            <v>11-08</v>
          </cell>
          <cell r="B272">
            <v>0</v>
          </cell>
        </row>
        <row r="273">
          <cell r="A273" t="str">
            <v>11-08</v>
          </cell>
          <cell r="B273">
            <v>19550</v>
          </cell>
        </row>
        <row r="274">
          <cell r="A274" t="str">
            <v>11-03J</v>
          </cell>
          <cell r="B274">
            <v>0</v>
          </cell>
        </row>
        <row r="275">
          <cell r="A275" t="str">
            <v>11-03J</v>
          </cell>
          <cell r="B275">
            <v>0</v>
          </cell>
        </row>
        <row r="276">
          <cell r="A276" t="str">
            <v>11-03J</v>
          </cell>
          <cell r="B276">
            <v>0</v>
          </cell>
        </row>
        <row r="277">
          <cell r="A277" t="str">
            <v>11-03J</v>
          </cell>
          <cell r="B277">
            <v>0</v>
          </cell>
        </row>
        <row r="278">
          <cell r="A278" t="str">
            <v>11-03J</v>
          </cell>
          <cell r="B278">
            <v>0</v>
          </cell>
        </row>
        <row r="279">
          <cell r="A279" t="str">
            <v>11-03</v>
          </cell>
          <cell r="B279">
            <v>750000</v>
          </cell>
        </row>
        <row r="280">
          <cell r="A280" t="str">
            <v>11-03</v>
          </cell>
          <cell r="B280">
            <v>0</v>
          </cell>
        </row>
        <row r="281">
          <cell r="A281" t="str">
            <v>11-03</v>
          </cell>
          <cell r="B281">
            <v>0</v>
          </cell>
        </row>
        <row r="282">
          <cell r="A282" t="str">
            <v>11-03</v>
          </cell>
          <cell r="B282">
            <v>0</v>
          </cell>
        </row>
        <row r="283">
          <cell r="A283" t="str">
            <v>11-03</v>
          </cell>
          <cell r="B283">
            <v>0</v>
          </cell>
        </row>
        <row r="284">
          <cell r="A284" t="str">
            <v>11-03</v>
          </cell>
          <cell r="B284">
            <v>0</v>
          </cell>
        </row>
        <row r="285">
          <cell r="A285" t="str">
            <v>10-26A</v>
          </cell>
        </row>
        <row r="286">
          <cell r="A286" t="str">
            <v>10-26A</v>
          </cell>
        </row>
        <row r="287">
          <cell r="A287" t="str">
            <v>10-28</v>
          </cell>
        </row>
        <row r="288">
          <cell r="A288" t="str">
            <v>10-28</v>
          </cell>
        </row>
        <row r="289">
          <cell r="A289" t="str">
            <v>10-28</v>
          </cell>
        </row>
        <row r="290">
          <cell r="A290" t="str">
            <v>10-28</v>
          </cell>
        </row>
        <row r="291">
          <cell r="A291" t="str">
            <v>10-28</v>
          </cell>
        </row>
        <row r="292">
          <cell r="A292" t="str">
            <v>10-28</v>
          </cell>
        </row>
        <row r="293">
          <cell r="A293" t="str">
            <v>10-23</v>
          </cell>
          <cell r="B293">
            <v>100000</v>
          </cell>
        </row>
        <row r="294">
          <cell r="A294" t="str">
            <v>10-23</v>
          </cell>
        </row>
        <row r="295">
          <cell r="A295" t="str">
            <v>10-23</v>
          </cell>
          <cell r="B295">
            <v>600000</v>
          </cell>
        </row>
        <row r="296">
          <cell r="A296" t="str">
            <v>10-23</v>
          </cell>
          <cell r="B296">
            <v>600000</v>
          </cell>
        </row>
        <row r="297">
          <cell r="A297" t="str">
            <v>10-23</v>
          </cell>
        </row>
        <row r="298">
          <cell r="A298" t="str">
            <v>10-23</v>
          </cell>
        </row>
        <row r="299">
          <cell r="A299" t="str">
            <v>10-11</v>
          </cell>
        </row>
        <row r="300">
          <cell r="A300" t="str">
            <v>10-11</v>
          </cell>
        </row>
        <row r="301">
          <cell r="A301" t="str">
            <v>10-11</v>
          </cell>
        </row>
        <row r="302">
          <cell r="A302" t="str">
            <v>10-03B</v>
          </cell>
        </row>
        <row r="303">
          <cell r="A303" t="str">
            <v>10-03B</v>
          </cell>
          <cell r="B303">
            <v>15000</v>
          </cell>
        </row>
        <row r="304">
          <cell r="A304" t="str">
            <v>10-03B</v>
          </cell>
          <cell r="B304">
            <v>19000</v>
          </cell>
        </row>
        <row r="305">
          <cell r="A305" t="str">
            <v>10-03B</v>
          </cell>
        </row>
        <row r="306">
          <cell r="A306" t="str">
            <v>10-03B</v>
          </cell>
          <cell r="B306">
            <v>45000</v>
          </cell>
        </row>
        <row r="307">
          <cell r="A307" t="str">
            <v>10-03B</v>
          </cell>
          <cell r="B307">
            <v>250000</v>
          </cell>
        </row>
        <row r="308">
          <cell r="A308" t="str">
            <v>10-03B</v>
          </cell>
        </row>
        <row r="309">
          <cell r="A309" t="str">
            <v>10-03B</v>
          </cell>
          <cell r="B309">
            <v>185000</v>
          </cell>
        </row>
        <row r="310">
          <cell r="A310" t="str">
            <v>17-10</v>
          </cell>
          <cell r="B310">
            <v>0</v>
          </cell>
        </row>
        <row r="311">
          <cell r="A311" t="str">
            <v>17-10</v>
          </cell>
          <cell r="B311">
            <v>0</v>
          </cell>
        </row>
        <row r="312">
          <cell r="A312" t="str">
            <v>17-10</v>
          </cell>
          <cell r="B312">
            <v>0</v>
          </cell>
        </row>
        <row r="313">
          <cell r="A313" t="str">
            <v>17-10</v>
          </cell>
          <cell r="B313">
            <v>0</v>
          </cell>
        </row>
        <row r="314">
          <cell r="A314" t="str">
            <v>17-10</v>
          </cell>
          <cell r="B314">
            <v>0</v>
          </cell>
        </row>
        <row r="315">
          <cell r="A315" t="str">
            <v>16-10</v>
          </cell>
          <cell r="B315">
            <v>0</v>
          </cell>
        </row>
        <row r="316">
          <cell r="A316" t="str">
            <v>16-10</v>
          </cell>
          <cell r="B316">
            <v>0</v>
          </cell>
        </row>
        <row r="317">
          <cell r="A317" t="str">
            <v>16-10</v>
          </cell>
          <cell r="B317">
            <v>0</v>
          </cell>
        </row>
        <row r="318">
          <cell r="A318" t="str">
            <v>16-10</v>
          </cell>
          <cell r="B318">
            <v>0</v>
          </cell>
        </row>
        <row r="319">
          <cell r="A319" t="str">
            <v>16-09</v>
          </cell>
          <cell r="B319">
            <v>0</v>
          </cell>
        </row>
        <row r="320">
          <cell r="A320" t="str">
            <v>16-07</v>
          </cell>
          <cell r="B320">
            <v>0</v>
          </cell>
        </row>
        <row r="321">
          <cell r="A321" t="str">
            <v>16-07</v>
          </cell>
          <cell r="B321">
            <v>500943</v>
          </cell>
        </row>
        <row r="322">
          <cell r="A322" t="str">
            <v>16-05</v>
          </cell>
          <cell r="B322">
            <v>0</v>
          </cell>
        </row>
        <row r="323">
          <cell r="A323" t="str">
            <v>16-02</v>
          </cell>
          <cell r="B323">
            <v>0</v>
          </cell>
        </row>
        <row r="324">
          <cell r="A324" t="str">
            <v>16-02</v>
          </cell>
          <cell r="B324">
            <v>0</v>
          </cell>
        </row>
        <row r="325">
          <cell r="A325" t="str">
            <v>16-02</v>
          </cell>
          <cell r="B325">
            <v>0</v>
          </cell>
        </row>
        <row r="326">
          <cell r="A326" t="str">
            <v>16-02</v>
          </cell>
          <cell r="B326">
            <v>0</v>
          </cell>
        </row>
        <row r="327">
          <cell r="A327" t="str">
            <v>16-02</v>
          </cell>
          <cell r="B327">
            <v>0</v>
          </cell>
        </row>
        <row r="328">
          <cell r="A328" t="str">
            <v>16-02</v>
          </cell>
          <cell r="B328">
            <v>625</v>
          </cell>
        </row>
        <row r="329">
          <cell r="A329" t="str">
            <v>16-02</v>
          </cell>
          <cell r="B329">
            <v>0</v>
          </cell>
        </row>
        <row r="330">
          <cell r="A330" t="str">
            <v>16-02</v>
          </cell>
          <cell r="B330">
            <v>0</v>
          </cell>
        </row>
        <row r="331">
          <cell r="A331" t="str">
            <v>16-02</v>
          </cell>
          <cell r="B331">
            <v>0</v>
          </cell>
        </row>
        <row r="332">
          <cell r="A332" t="str">
            <v>16-02</v>
          </cell>
          <cell r="B332">
            <v>0</v>
          </cell>
        </row>
        <row r="333">
          <cell r="A333" t="str">
            <v>16-02</v>
          </cell>
          <cell r="B333">
            <v>0</v>
          </cell>
        </row>
        <row r="334">
          <cell r="A334" t="str">
            <v>16-02</v>
          </cell>
          <cell r="B334">
            <v>0</v>
          </cell>
        </row>
        <row r="335">
          <cell r="A335" t="str">
            <v>16-02</v>
          </cell>
          <cell r="B335">
            <v>0</v>
          </cell>
        </row>
        <row r="336">
          <cell r="A336" t="str">
            <v>15-33</v>
          </cell>
          <cell r="B336">
            <v>0</v>
          </cell>
        </row>
        <row r="337">
          <cell r="A337" t="str">
            <v>15-33</v>
          </cell>
          <cell r="B337">
            <v>0</v>
          </cell>
        </row>
        <row r="338">
          <cell r="A338" t="str">
            <v>15-31</v>
          </cell>
          <cell r="B338">
            <v>0</v>
          </cell>
        </row>
        <row r="339">
          <cell r="A339" t="str">
            <v>15-28</v>
          </cell>
          <cell r="B339">
            <v>0</v>
          </cell>
        </row>
        <row r="340">
          <cell r="A340" t="str">
            <v>15-27</v>
          </cell>
          <cell r="B340">
            <v>0</v>
          </cell>
        </row>
        <row r="341">
          <cell r="A341" t="str">
            <v>15-24</v>
          </cell>
          <cell r="B341">
            <v>0</v>
          </cell>
        </row>
        <row r="342">
          <cell r="A342" t="str">
            <v>15-24</v>
          </cell>
          <cell r="B342">
            <v>0</v>
          </cell>
        </row>
        <row r="343">
          <cell r="A343" t="str">
            <v>15-24</v>
          </cell>
          <cell r="B343">
            <v>0</v>
          </cell>
        </row>
        <row r="344">
          <cell r="A344" t="str">
            <v>15-22</v>
          </cell>
          <cell r="B344">
            <v>0</v>
          </cell>
        </row>
        <row r="345">
          <cell r="A345" t="str">
            <v>15-19</v>
          </cell>
          <cell r="B345">
            <v>0</v>
          </cell>
        </row>
        <row r="346">
          <cell r="A346" t="str">
            <v>15-18</v>
          </cell>
          <cell r="B346">
            <v>0</v>
          </cell>
        </row>
        <row r="347">
          <cell r="A347" t="str">
            <v>15-18</v>
          </cell>
          <cell r="B347">
            <v>0</v>
          </cell>
        </row>
        <row r="348">
          <cell r="A348" t="str">
            <v>15-18</v>
          </cell>
          <cell r="B348">
            <v>0</v>
          </cell>
        </row>
        <row r="349">
          <cell r="A349" t="str">
            <v>15-18</v>
          </cell>
          <cell r="B349">
            <v>0</v>
          </cell>
        </row>
        <row r="350">
          <cell r="A350" t="str">
            <v>15-18</v>
          </cell>
          <cell r="B350">
            <v>0</v>
          </cell>
        </row>
        <row r="351">
          <cell r="A351" t="str">
            <v>18-03</v>
          </cell>
          <cell r="B351">
            <v>0</v>
          </cell>
        </row>
        <row r="352">
          <cell r="A352" t="str">
            <v>18-03</v>
          </cell>
          <cell r="B352">
            <v>0</v>
          </cell>
        </row>
        <row r="353">
          <cell r="A353" t="str">
            <v>18-03</v>
          </cell>
          <cell r="B353">
            <v>0</v>
          </cell>
        </row>
        <row r="354">
          <cell r="A354" t="str">
            <v>18-03</v>
          </cell>
          <cell r="B354">
            <v>0</v>
          </cell>
        </row>
        <row r="355">
          <cell r="A355" t="str">
            <v>18-03</v>
          </cell>
          <cell r="B355">
            <v>0</v>
          </cell>
        </row>
        <row r="356">
          <cell r="A356" t="str">
            <v>18-03</v>
          </cell>
          <cell r="B356">
            <v>0</v>
          </cell>
        </row>
        <row r="357">
          <cell r="A357" t="str">
            <v>18-03</v>
          </cell>
          <cell r="B357">
            <v>0</v>
          </cell>
        </row>
        <row r="358">
          <cell r="A358" t="str">
            <v>17-14</v>
          </cell>
          <cell r="B358">
            <v>0</v>
          </cell>
        </row>
        <row r="359">
          <cell r="A359" t="str">
            <v>17-14</v>
          </cell>
          <cell r="B359">
            <v>0</v>
          </cell>
        </row>
        <row r="360">
          <cell r="A360" t="str">
            <v>16-26</v>
          </cell>
        </row>
        <row r="361">
          <cell r="A361" t="str">
            <v>16-26</v>
          </cell>
        </row>
        <row r="362">
          <cell r="A362" t="str">
            <v>16-26</v>
          </cell>
        </row>
        <row r="363">
          <cell r="A363" t="str">
            <v>16-20</v>
          </cell>
        </row>
        <row r="364">
          <cell r="A364" t="str">
            <v>16-13</v>
          </cell>
        </row>
        <row r="365">
          <cell r="A365" t="str">
            <v>16-13</v>
          </cell>
        </row>
        <row r="366">
          <cell r="A366" t="str">
            <v>15-13</v>
          </cell>
        </row>
        <row r="367">
          <cell r="A367" t="str">
            <v>15-13</v>
          </cell>
        </row>
        <row r="368">
          <cell r="A368" t="str">
            <v>15-13</v>
          </cell>
        </row>
        <row r="369">
          <cell r="A369" t="str">
            <v>15-13</v>
          </cell>
        </row>
        <row r="370">
          <cell r="A370" t="str">
            <v>15-12</v>
          </cell>
        </row>
        <row r="371">
          <cell r="A371" t="str">
            <v>15-12</v>
          </cell>
        </row>
        <row r="372">
          <cell r="A372" t="str">
            <v>15-12</v>
          </cell>
        </row>
        <row r="373">
          <cell r="A373" t="str">
            <v>15-12</v>
          </cell>
        </row>
        <row r="374">
          <cell r="A374" t="str">
            <v>15-12</v>
          </cell>
        </row>
        <row r="375">
          <cell r="A375" t="str">
            <v>15-02</v>
          </cell>
        </row>
        <row r="376">
          <cell r="A376" t="str">
            <v>15-02</v>
          </cell>
        </row>
        <row r="377">
          <cell r="A377" t="str">
            <v>15-02</v>
          </cell>
        </row>
        <row r="378">
          <cell r="A378" t="str">
            <v>15-02</v>
          </cell>
        </row>
        <row r="379">
          <cell r="A379" t="str">
            <v>15-01</v>
          </cell>
        </row>
        <row r="380">
          <cell r="A380" t="str">
            <v>15-01</v>
          </cell>
        </row>
        <row r="381">
          <cell r="A381" t="str">
            <v>15-01</v>
          </cell>
        </row>
        <row r="382">
          <cell r="A382" t="str">
            <v>15-01</v>
          </cell>
        </row>
        <row r="383">
          <cell r="A383" t="str">
            <v>14-19</v>
          </cell>
        </row>
        <row r="384">
          <cell r="A384" t="str">
            <v>14-19</v>
          </cell>
        </row>
        <row r="385">
          <cell r="A385" t="str">
            <v>14-19</v>
          </cell>
        </row>
        <row r="386">
          <cell r="A386" t="str">
            <v>14-19</v>
          </cell>
        </row>
        <row r="387">
          <cell r="A387" t="str">
            <v>14-19</v>
          </cell>
        </row>
        <row r="388">
          <cell r="A388" t="str">
            <v>14-14</v>
          </cell>
        </row>
        <row r="389">
          <cell r="A389" t="str">
            <v>14-09</v>
          </cell>
        </row>
        <row r="390">
          <cell r="A390" t="str">
            <v>14-01A</v>
          </cell>
        </row>
        <row r="391">
          <cell r="A391" t="str">
            <v>14-01A</v>
          </cell>
        </row>
        <row r="392">
          <cell r="A392" t="str">
            <v>14-01A</v>
          </cell>
        </row>
        <row r="393">
          <cell r="A393" t="str">
            <v>13-17</v>
          </cell>
        </row>
        <row r="394">
          <cell r="A394" t="str">
            <v>13-17</v>
          </cell>
        </row>
        <row r="395">
          <cell r="A395" t="str">
            <v>13-14</v>
          </cell>
        </row>
        <row r="396">
          <cell r="A396" t="str">
            <v>13-14</v>
          </cell>
        </row>
        <row r="397">
          <cell r="A397" t="str">
            <v>13-12A</v>
          </cell>
        </row>
        <row r="398">
          <cell r="A398" t="str">
            <v>13-12A</v>
          </cell>
        </row>
        <row r="399">
          <cell r="A399" t="str">
            <v>13-12A</v>
          </cell>
        </row>
        <row r="400">
          <cell r="A400" t="str">
            <v>13-12A</v>
          </cell>
        </row>
        <row r="401">
          <cell r="A401" t="str">
            <v>13-12A</v>
          </cell>
        </row>
        <row r="402">
          <cell r="A402" t="str">
            <v>13-12A</v>
          </cell>
        </row>
        <row r="403">
          <cell r="A403" t="str">
            <v>13-12A</v>
          </cell>
        </row>
        <row r="404">
          <cell r="A404" t="str">
            <v>13-12A</v>
          </cell>
        </row>
        <row r="405">
          <cell r="A405" t="str">
            <v>13-12A</v>
          </cell>
        </row>
        <row r="406">
          <cell r="A406" t="str">
            <v>13-12A</v>
          </cell>
        </row>
        <row r="407">
          <cell r="A407" t="str">
            <v>13-10A</v>
          </cell>
        </row>
        <row r="408">
          <cell r="A408" t="str">
            <v>13-10A</v>
          </cell>
        </row>
        <row r="409">
          <cell r="A409" t="str">
            <v>13-09B</v>
          </cell>
        </row>
        <row r="410">
          <cell r="A410" t="str">
            <v>13-09B</v>
          </cell>
        </row>
        <row r="411">
          <cell r="A411" t="str">
            <v>13-09B</v>
          </cell>
        </row>
        <row r="412">
          <cell r="A412" t="str">
            <v>13-08</v>
          </cell>
        </row>
        <row r="413">
          <cell r="A413" t="str">
            <v>13-08</v>
          </cell>
        </row>
        <row r="414">
          <cell r="A414" t="str">
            <v>13-08</v>
          </cell>
        </row>
        <row r="415">
          <cell r="A415" t="str">
            <v>13-08</v>
          </cell>
        </row>
        <row r="416">
          <cell r="A416" t="str">
            <v>13-05C</v>
          </cell>
        </row>
        <row r="417">
          <cell r="A417" t="str">
            <v>13-05C</v>
          </cell>
        </row>
        <row r="418">
          <cell r="A418" t="str">
            <v>13-05C</v>
          </cell>
        </row>
        <row r="419">
          <cell r="A419" t="str">
            <v>13-05C</v>
          </cell>
        </row>
        <row r="420">
          <cell r="A420" t="str">
            <v>13-05C</v>
          </cell>
        </row>
        <row r="421">
          <cell r="A421" t="str">
            <v>13-04</v>
          </cell>
        </row>
        <row r="422">
          <cell r="A422" t="str">
            <v>12-16</v>
          </cell>
        </row>
        <row r="423">
          <cell r="A423" t="str">
            <v>12-16</v>
          </cell>
        </row>
        <row r="424">
          <cell r="A424" t="str">
            <v>12-16</v>
          </cell>
        </row>
        <row r="425">
          <cell r="A425" t="str">
            <v>12-16</v>
          </cell>
        </row>
        <row r="426">
          <cell r="A426" t="str">
            <v>12-16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app.dcoz.dc.gov/Content/Search/ViewCaseReport.aspx?case_id=15-32" TargetMode="External"/><Relationship Id="rId21" Type="http://schemas.openxmlformats.org/officeDocument/2006/relationships/hyperlink" Target="https://app.dcoz.dc.gov/Content/Search/ViewCaseReport.aspx?case_id=16-05" TargetMode="External"/><Relationship Id="rId42" Type="http://schemas.openxmlformats.org/officeDocument/2006/relationships/hyperlink" Target="https://app.dcoz.dc.gov/Content/Search/ViewCaseReport.aspx?case_id=15-04" TargetMode="External"/><Relationship Id="rId47" Type="http://schemas.openxmlformats.org/officeDocument/2006/relationships/hyperlink" Target="https://app.dcoz.dc.gov/Content/Search/ViewCaseReport.aspx?case_id=14-19" TargetMode="External"/><Relationship Id="rId63" Type="http://schemas.openxmlformats.org/officeDocument/2006/relationships/hyperlink" Target="https://app.dcoz.dc.gov/Content/Search/ViewCaseReport.aspx?case_id=13-18B" TargetMode="External"/><Relationship Id="rId68" Type="http://schemas.openxmlformats.org/officeDocument/2006/relationships/hyperlink" Target="https://app.dcoz.dc.gov/Content/Search/ViewCaseReport.aspx?case_id=13-10" TargetMode="External"/><Relationship Id="rId84" Type="http://schemas.openxmlformats.org/officeDocument/2006/relationships/hyperlink" Target="https://app.dcoz.dc.gov/Content/Search/ViewCaseReport.aspx?case_id=12-02" TargetMode="External"/><Relationship Id="rId89" Type="http://schemas.openxmlformats.org/officeDocument/2006/relationships/hyperlink" Target="https://app.dcoz.dc.gov/Content/Search/ViewCaseReport.aspx?case_id=11-13A" TargetMode="External"/><Relationship Id="rId112" Type="http://schemas.openxmlformats.org/officeDocument/2006/relationships/hyperlink" Target="https://app.dcoz.dc.gov/Content/Search/ViewCaseReport.aspx?case_id=20-06" TargetMode="External"/><Relationship Id="rId16" Type="http://schemas.openxmlformats.org/officeDocument/2006/relationships/hyperlink" Target="https://app.dcoz.dc.gov/Content/Search/ViewCaseReport.aspx?case_id=16-13" TargetMode="External"/><Relationship Id="rId107" Type="http://schemas.openxmlformats.org/officeDocument/2006/relationships/hyperlink" Target="https://app.dcoz.dc.gov/Content/Search/ViewCaseReport.aspx?case_id=13-14C" TargetMode="External"/><Relationship Id="rId11" Type="http://schemas.openxmlformats.org/officeDocument/2006/relationships/hyperlink" Target="https://app.dcoz.dc.gov/Content/Search/ViewCaseReport.aspx?case_id=16-26" TargetMode="External"/><Relationship Id="rId32" Type="http://schemas.openxmlformats.org/officeDocument/2006/relationships/hyperlink" Target="https://app.dcoz.dc.gov/Content/Search/ViewCaseReport.aspx?case_id=15-21" TargetMode="External"/><Relationship Id="rId37" Type="http://schemas.openxmlformats.org/officeDocument/2006/relationships/hyperlink" Target="https://app.dcoz.dc.gov/Content/Search/ViewCaseReport.aspx?case_id=15-13" TargetMode="External"/><Relationship Id="rId53" Type="http://schemas.openxmlformats.org/officeDocument/2006/relationships/hyperlink" Target="https://app.dcoz.dc.gov/Content/Search/ViewCaseReport.aspx?case_id=14-08" TargetMode="External"/><Relationship Id="rId58" Type="http://schemas.openxmlformats.org/officeDocument/2006/relationships/hyperlink" Target="https://app.dcoz.dc.gov/Content/Search/ViewCaseReport.aspx?case_id=14-04" TargetMode="External"/><Relationship Id="rId74" Type="http://schemas.openxmlformats.org/officeDocument/2006/relationships/hyperlink" Target="https://app.dcoz.dc.gov/Content/Search/ViewCaseReport.aspx?case_id=13-05D" TargetMode="External"/><Relationship Id="rId79" Type="http://schemas.openxmlformats.org/officeDocument/2006/relationships/hyperlink" Target="https://app.dcoz.dc.gov/Content/Search/ViewCaseReport.aspx?case_id=12-20A" TargetMode="External"/><Relationship Id="rId102" Type="http://schemas.openxmlformats.org/officeDocument/2006/relationships/hyperlink" Target="https://app.dcoz.dc.gov/Content/Search/ViewCaseReport.aspx?case_id=10-03" TargetMode="External"/><Relationship Id="rId5" Type="http://schemas.openxmlformats.org/officeDocument/2006/relationships/hyperlink" Target="https://app.dcoz.dc.gov/Content/Search/ViewCaseReport.aspx?case_id=17-19" TargetMode="External"/><Relationship Id="rId90" Type="http://schemas.openxmlformats.org/officeDocument/2006/relationships/hyperlink" Target="https://app.dcoz.dc.gov/Content/Search/ViewCaseReport.aspx?case_id=11-12" TargetMode="External"/><Relationship Id="rId95" Type="http://schemas.openxmlformats.org/officeDocument/2006/relationships/hyperlink" Target="https://app.dcoz.dc.gov/Content/Search/ViewCaseReport.aspx?case_id=11-03J" TargetMode="External"/><Relationship Id="rId22" Type="http://schemas.openxmlformats.org/officeDocument/2006/relationships/hyperlink" Target="https://app.dcoz.dc.gov/Content/Search/ViewCaseReport.aspx?case_id=16-02" TargetMode="External"/><Relationship Id="rId27" Type="http://schemas.openxmlformats.org/officeDocument/2006/relationships/hyperlink" Target="https://app.dcoz.dc.gov/Content/Search/ViewCaseReport.aspx?case_id=15-31" TargetMode="External"/><Relationship Id="rId43" Type="http://schemas.openxmlformats.org/officeDocument/2006/relationships/hyperlink" Target="https://app.dcoz.dc.gov/Content/Search/ViewCaseReport.aspx?case_id=15-03" TargetMode="External"/><Relationship Id="rId48" Type="http://schemas.openxmlformats.org/officeDocument/2006/relationships/hyperlink" Target="https://app.dcoz.dc.gov/Content/Search/ViewCaseReport.aspx?case_id=14-18" TargetMode="External"/><Relationship Id="rId64" Type="http://schemas.openxmlformats.org/officeDocument/2006/relationships/hyperlink" Target="https://app.dcoz.dc.gov/Content/Search/ViewCaseReport.aspx?case_id=13-17" TargetMode="External"/><Relationship Id="rId69" Type="http://schemas.openxmlformats.org/officeDocument/2006/relationships/hyperlink" Target="https://app.dcoz.dc.gov/Content/Search/ViewCaseReport.aspx?case_id=13-10A" TargetMode="External"/><Relationship Id="rId113" Type="http://schemas.openxmlformats.org/officeDocument/2006/relationships/hyperlink" Target="https://app.dcoz.dc.gov/Content/Search/ViewCaseReport.aspx?case_id=20-09" TargetMode="External"/><Relationship Id="rId80" Type="http://schemas.openxmlformats.org/officeDocument/2006/relationships/hyperlink" Target="https://app.dcoz.dc.gov/Content/Search/ViewCaseReport.aspx?case_id=12-18" TargetMode="External"/><Relationship Id="rId85" Type="http://schemas.openxmlformats.org/officeDocument/2006/relationships/hyperlink" Target="https://app.dcoz.dc.gov/Content/Search/ViewCaseReport.aspx?case_id=11-25" TargetMode="External"/><Relationship Id="rId12" Type="http://schemas.openxmlformats.org/officeDocument/2006/relationships/hyperlink" Target="https://app.dcoz.dc.gov/Content/Search/ViewCaseReport.aspx?case_id=10-29" TargetMode="External"/><Relationship Id="rId17" Type="http://schemas.openxmlformats.org/officeDocument/2006/relationships/hyperlink" Target="https://app.dcoz.dc.gov/Content/Search/ViewCaseReport.aspx?case_id=16-12" TargetMode="External"/><Relationship Id="rId33" Type="http://schemas.openxmlformats.org/officeDocument/2006/relationships/hyperlink" Target="https://app.dcoz.dc.gov/Content/Search/ViewCaseReport.aspx?case_id=15-20" TargetMode="External"/><Relationship Id="rId38" Type="http://schemas.openxmlformats.org/officeDocument/2006/relationships/hyperlink" Target="https://app.dcoz.dc.gov/Content/Search/ViewCaseReport.aspx?case_id=15-12" TargetMode="External"/><Relationship Id="rId59" Type="http://schemas.openxmlformats.org/officeDocument/2006/relationships/hyperlink" Target="https://app.dcoz.dc.gov/Content/Search/ViewCaseReport.aspx?case_id=14-04A" TargetMode="External"/><Relationship Id="rId103" Type="http://schemas.openxmlformats.org/officeDocument/2006/relationships/hyperlink" Target="https://app.dcoz.dc.gov/Content/Search/ViewCaseReport.aspx?case_id=10-03D" TargetMode="External"/><Relationship Id="rId108" Type="http://schemas.openxmlformats.org/officeDocument/2006/relationships/hyperlink" Target="https://app.dcoz.dc.gov/Content/Search/ViewCaseReport.aspx?case_id=12-14C" TargetMode="External"/><Relationship Id="rId54" Type="http://schemas.openxmlformats.org/officeDocument/2006/relationships/hyperlink" Target="https://app.dcoz.dc.gov/Content/Search/ViewCaseReport.aspx?case_id=14-07" TargetMode="External"/><Relationship Id="rId70" Type="http://schemas.openxmlformats.org/officeDocument/2006/relationships/hyperlink" Target="https://app.dcoz.dc.gov/Content/Search/ViewCaseReport.aspx?case_id=13-09" TargetMode="External"/><Relationship Id="rId75" Type="http://schemas.openxmlformats.org/officeDocument/2006/relationships/hyperlink" Target="https://app.dcoz.dc.gov/Content/Search/ViewCaseReport.aspx?case_id=13-04" TargetMode="External"/><Relationship Id="rId91" Type="http://schemas.openxmlformats.org/officeDocument/2006/relationships/hyperlink" Target="https://app.dcoz.dc.gov/Content/Search/ViewCaseReport.aspx?case_id=11-09" TargetMode="External"/><Relationship Id="rId96" Type="http://schemas.openxmlformats.org/officeDocument/2006/relationships/hyperlink" Target="https://app.dcoz.dc.gov/Content/Search/ViewCaseReport.aspx?case_id=11-03" TargetMode="External"/><Relationship Id="rId1" Type="http://schemas.openxmlformats.org/officeDocument/2006/relationships/hyperlink" Target="https://app.dcoz.dc.gov/Content/Search/ViewCaseReport.aspx?case_id=19-01" TargetMode="External"/><Relationship Id="rId6" Type="http://schemas.openxmlformats.org/officeDocument/2006/relationships/hyperlink" Target="https://app.dcoz.dc.gov/Content/Search/ViewCaseReport.aspx?case_id=17-14" TargetMode="External"/><Relationship Id="rId15" Type="http://schemas.openxmlformats.org/officeDocument/2006/relationships/hyperlink" Target="https://app.dcoz.dc.gov/Content/Search/ViewCaseReport.aspx?case_id=16-17" TargetMode="External"/><Relationship Id="rId23" Type="http://schemas.openxmlformats.org/officeDocument/2006/relationships/hyperlink" Target="https://app.dcoz.dc.gov/Content/Search/ViewCaseReport.aspx?case_id=15-34" TargetMode="External"/><Relationship Id="rId28" Type="http://schemas.openxmlformats.org/officeDocument/2006/relationships/hyperlink" Target="https://app.dcoz.dc.gov/Content/Search/ViewCaseReport.aspx?case_id=15-28" TargetMode="External"/><Relationship Id="rId36" Type="http://schemas.openxmlformats.org/officeDocument/2006/relationships/hyperlink" Target="https://app.dcoz.dc.gov/Content/Search/ViewCaseReport.aspx?case_id=15-14" TargetMode="External"/><Relationship Id="rId49" Type="http://schemas.openxmlformats.org/officeDocument/2006/relationships/hyperlink" Target="https://app.dcoz.dc.gov/Content/Search/ViewCaseReport.aspx?case_id=14-18A" TargetMode="External"/><Relationship Id="rId57" Type="http://schemas.openxmlformats.org/officeDocument/2006/relationships/hyperlink" Target="https://app.dcoz.dc.gov/Content/Search/ViewCaseReport.aspx?case_id=14-07A" TargetMode="External"/><Relationship Id="rId106" Type="http://schemas.openxmlformats.org/officeDocument/2006/relationships/hyperlink" Target="https://app.dcoz.dc.gov/Content/Search/ViewCaseReport.aspx?case_id=15-21C" TargetMode="External"/><Relationship Id="rId114" Type="http://schemas.openxmlformats.org/officeDocument/2006/relationships/hyperlink" Target="https://app.dcoz.dc.gov/Content/Search/ViewCaseReport.aspx?case_id=20-27" TargetMode="External"/><Relationship Id="rId10" Type="http://schemas.openxmlformats.org/officeDocument/2006/relationships/hyperlink" Target="https://app.dcoz.dc.gov/Content/Search/ViewCaseReport.aspx?case_id=17-06" TargetMode="External"/><Relationship Id="rId31" Type="http://schemas.openxmlformats.org/officeDocument/2006/relationships/hyperlink" Target="https://app.dcoz.dc.gov/Content/Search/ViewCaseReport.aspx?case_id=15-22" TargetMode="External"/><Relationship Id="rId44" Type="http://schemas.openxmlformats.org/officeDocument/2006/relationships/hyperlink" Target="https://app.dcoz.dc.gov/Content/Search/ViewCaseReport.aspx?case_id=15-02" TargetMode="External"/><Relationship Id="rId52" Type="http://schemas.openxmlformats.org/officeDocument/2006/relationships/hyperlink" Target="https://app.dcoz.dc.gov/Content/Search/ViewCaseReport.aspx?case_id=14-09" TargetMode="External"/><Relationship Id="rId60" Type="http://schemas.openxmlformats.org/officeDocument/2006/relationships/hyperlink" Target="https://app.dcoz.dc.gov/Content/Search/ViewCaseReport.aspx?case_id=14-01" TargetMode="External"/><Relationship Id="rId65" Type="http://schemas.openxmlformats.org/officeDocument/2006/relationships/hyperlink" Target="https://app.dcoz.dc.gov/Content/Search/ViewCaseReport.aspx?case_id=13-14" TargetMode="External"/><Relationship Id="rId73" Type="http://schemas.openxmlformats.org/officeDocument/2006/relationships/hyperlink" Target="https://app.dcoz.dc.gov/Content/Search/ViewCaseReport.aspx?case_id=13-05" TargetMode="External"/><Relationship Id="rId78" Type="http://schemas.openxmlformats.org/officeDocument/2006/relationships/hyperlink" Target="https://app.dcoz.dc.gov/Content/Search/ViewCaseReport.aspx?case_id=12-20" TargetMode="External"/><Relationship Id="rId81" Type="http://schemas.openxmlformats.org/officeDocument/2006/relationships/hyperlink" Target="https://app.dcoz.dc.gov/Content/Search/ViewCaseReport.aspx?case_id=12-18B" TargetMode="External"/><Relationship Id="rId86" Type="http://schemas.openxmlformats.org/officeDocument/2006/relationships/hyperlink" Target="https://app.dcoz.dc.gov/Content/Search/ViewCaseReport.aspx?case_id=11-24" TargetMode="External"/><Relationship Id="rId94" Type="http://schemas.openxmlformats.org/officeDocument/2006/relationships/hyperlink" Target="https://app.dcoz.dc.gov/Content/Search/ViewCaseReport.aspx?case_id=11-03" TargetMode="External"/><Relationship Id="rId99" Type="http://schemas.openxmlformats.org/officeDocument/2006/relationships/hyperlink" Target="https://app.dcoz.dc.gov/Content/Search/ViewCaseReport.aspx?case_id=10-26A" TargetMode="External"/><Relationship Id="rId101" Type="http://schemas.openxmlformats.org/officeDocument/2006/relationships/hyperlink" Target="https://app.dcoz.dc.gov/Content/Search/ViewCaseReport.aspx?case_id=10-11" TargetMode="External"/><Relationship Id="rId4" Type="http://schemas.openxmlformats.org/officeDocument/2006/relationships/hyperlink" Target="https://app.dcoz.dc.gov/Content/Search/ViewCaseReport.aspx?case_id=18-03" TargetMode="External"/><Relationship Id="rId9" Type="http://schemas.openxmlformats.org/officeDocument/2006/relationships/hyperlink" Target="https://app.dcoz.dc.gov/Content/Search/ViewCaseReport.aspx?case_id=17-08" TargetMode="External"/><Relationship Id="rId13" Type="http://schemas.openxmlformats.org/officeDocument/2006/relationships/hyperlink" Target="https://app.dcoz.dc.gov/Content/Search/ViewCaseReport.aspx?case_id=16-24" TargetMode="External"/><Relationship Id="rId18" Type="http://schemas.openxmlformats.org/officeDocument/2006/relationships/hyperlink" Target="https://app.dcoz.dc.gov/Content/Search/ViewCaseReport.aspx?case_id=16-10" TargetMode="External"/><Relationship Id="rId39" Type="http://schemas.openxmlformats.org/officeDocument/2006/relationships/hyperlink" Target="https://app.dcoz.dc.gov/Content/Search/ViewCaseReport.aspx?case_id=15-10" TargetMode="External"/><Relationship Id="rId109" Type="http://schemas.openxmlformats.org/officeDocument/2006/relationships/hyperlink" Target="https://app.dcoz.dc.gov/Content/Search/ViewCaseReport.aspx?case_id=19-10" TargetMode="External"/><Relationship Id="rId34" Type="http://schemas.openxmlformats.org/officeDocument/2006/relationships/hyperlink" Target="https://app.dcoz.dc.gov/Content/Search/ViewCaseReport.aspx?case_id=15-18" TargetMode="External"/><Relationship Id="rId50" Type="http://schemas.openxmlformats.org/officeDocument/2006/relationships/hyperlink" Target="https://app.dcoz.dc.gov/Content/Search/ViewCaseReport.aspx?case_id=14-14" TargetMode="External"/><Relationship Id="rId55" Type="http://schemas.openxmlformats.org/officeDocument/2006/relationships/hyperlink" Target="https://app.dcoz.dc.gov/Content/Search/ViewCaseReport.aspx?case_id=14-07B" TargetMode="External"/><Relationship Id="rId76" Type="http://schemas.openxmlformats.org/officeDocument/2006/relationships/hyperlink" Target="https://app.dcoz.dc.gov/Content/Search/ViewCaseReport.aspx?case_id=12-21" TargetMode="External"/><Relationship Id="rId97" Type="http://schemas.openxmlformats.org/officeDocument/2006/relationships/hyperlink" Target="https://app.dcoz.dc.gov/Content/Search/ViewCaseReport.aspx?case_id=10-28" TargetMode="External"/><Relationship Id="rId104" Type="http://schemas.openxmlformats.org/officeDocument/2006/relationships/hyperlink" Target="https://app.dcoz.dc.gov/Content/Search/ViewCaseReport.aspx?case_id=17-21" TargetMode="External"/><Relationship Id="rId7" Type="http://schemas.openxmlformats.org/officeDocument/2006/relationships/hyperlink" Target="https://app.dcoz.dc.gov/Content/Search/ViewCaseReport.aspx?case_id=17-10" TargetMode="External"/><Relationship Id="rId71" Type="http://schemas.openxmlformats.org/officeDocument/2006/relationships/hyperlink" Target="https://app.dcoz.dc.gov/Content/Search/ViewCaseReport.aspx?case_id=13-09C" TargetMode="External"/><Relationship Id="rId92" Type="http://schemas.openxmlformats.org/officeDocument/2006/relationships/hyperlink" Target="https://app.dcoz.dc.gov/Content/Search/ViewCaseReport.aspx?case_id=11-08" TargetMode="External"/><Relationship Id="rId2" Type="http://schemas.openxmlformats.org/officeDocument/2006/relationships/hyperlink" Target="https://app.dcoz.dc.gov/Content/Search/ViewCaseReport.aspx?case_id=18-21" TargetMode="External"/><Relationship Id="rId29" Type="http://schemas.openxmlformats.org/officeDocument/2006/relationships/hyperlink" Target="https://app.dcoz.dc.gov/Content/Search/ViewCaseReport.aspx?case_id=15-27" TargetMode="External"/><Relationship Id="rId24" Type="http://schemas.openxmlformats.org/officeDocument/2006/relationships/hyperlink" Target="https://app.dcoz.dc.gov/Content/Search/ViewCaseReport.aspx?case_id=15-34A" TargetMode="External"/><Relationship Id="rId40" Type="http://schemas.openxmlformats.org/officeDocument/2006/relationships/hyperlink" Target="https://app.dcoz.dc.gov/Content/Search/ViewCaseReport.aspx?case_id=15-07" TargetMode="External"/><Relationship Id="rId45" Type="http://schemas.openxmlformats.org/officeDocument/2006/relationships/hyperlink" Target="https://app.dcoz.dc.gov/Content/Search/ViewCaseReport.aspx?case_id=15-01" TargetMode="External"/><Relationship Id="rId66" Type="http://schemas.openxmlformats.org/officeDocument/2006/relationships/hyperlink" Target="https://app.dcoz.dc.gov/Content/Search/ViewCaseReport.aspx?case_id=13-12" TargetMode="External"/><Relationship Id="rId87" Type="http://schemas.openxmlformats.org/officeDocument/2006/relationships/hyperlink" Target="https://app.dcoz.dc.gov/Content/Search/ViewCaseReport.aspx?case_id=11-17" TargetMode="External"/><Relationship Id="rId110" Type="http://schemas.openxmlformats.org/officeDocument/2006/relationships/hyperlink" Target="https://app.dcoz.dc.gov/Content/Search/ViewCaseReport.aspx?case_id=19-16" TargetMode="External"/><Relationship Id="rId115" Type="http://schemas.openxmlformats.org/officeDocument/2006/relationships/printerSettings" Target="../printerSettings/printerSettings1.bin"/><Relationship Id="rId61" Type="http://schemas.openxmlformats.org/officeDocument/2006/relationships/hyperlink" Target="https://app.dcoz.dc.gov/Content/Search/ViewCaseReport.aspx?case_id=14-01A" TargetMode="External"/><Relationship Id="rId82" Type="http://schemas.openxmlformats.org/officeDocument/2006/relationships/hyperlink" Target="https://app.dcoz.dc.gov/Content/Search/ViewCaseReport.aspx?case_id=12-16" TargetMode="External"/><Relationship Id="rId19" Type="http://schemas.openxmlformats.org/officeDocument/2006/relationships/hyperlink" Target="https://app.dcoz.dc.gov/Content/Search/ViewCaseReport.aspx?case_id=16-09" TargetMode="External"/><Relationship Id="rId14" Type="http://schemas.openxmlformats.org/officeDocument/2006/relationships/hyperlink" Target="https://app.dcoz.dc.gov/Content/Search/ViewCaseReport.aspx?case_id=16-20" TargetMode="External"/><Relationship Id="rId30" Type="http://schemas.openxmlformats.org/officeDocument/2006/relationships/hyperlink" Target="https://app.dcoz.dc.gov/Content/Search/ViewCaseReport.aspx?case_id=15-24" TargetMode="External"/><Relationship Id="rId35" Type="http://schemas.openxmlformats.org/officeDocument/2006/relationships/hyperlink" Target="https://app.dcoz.dc.gov/Content/Search/ViewCaseReport.aspx?case_id=15-15" TargetMode="External"/><Relationship Id="rId56" Type="http://schemas.openxmlformats.org/officeDocument/2006/relationships/hyperlink" Target="https://app.dcoz.dc.gov/Content/Search/ViewCaseReport.aspx?case_id=14-07" TargetMode="External"/><Relationship Id="rId77" Type="http://schemas.openxmlformats.org/officeDocument/2006/relationships/hyperlink" Target="https://app.dcoz.dc.gov/Content/Search/ViewCaseReport.aspx?case_id=12-21A" TargetMode="External"/><Relationship Id="rId100" Type="http://schemas.openxmlformats.org/officeDocument/2006/relationships/hyperlink" Target="https://app.dcoz.dc.gov/Content/Search/ViewCaseReport.aspx?case_id=10-23" TargetMode="External"/><Relationship Id="rId105" Type="http://schemas.openxmlformats.org/officeDocument/2006/relationships/hyperlink" Target="https://app.dcoz.dc.gov/Content/Search/ViewCaseReport.aspx?case_id=15-27F" TargetMode="External"/><Relationship Id="rId8" Type="http://schemas.openxmlformats.org/officeDocument/2006/relationships/hyperlink" Target="https://app.dcoz.dc.gov/Content/Search/ViewCaseReport.aspx?case_id=17-09" TargetMode="External"/><Relationship Id="rId51" Type="http://schemas.openxmlformats.org/officeDocument/2006/relationships/hyperlink" Target="https://app.dcoz.dc.gov/Content/Search/ViewCaseReport.aspx?case_id=14-12" TargetMode="External"/><Relationship Id="rId72" Type="http://schemas.openxmlformats.org/officeDocument/2006/relationships/hyperlink" Target="https://app.dcoz.dc.gov/Content/Search/ViewCaseReport.aspx?case_id=13-08" TargetMode="External"/><Relationship Id="rId93" Type="http://schemas.openxmlformats.org/officeDocument/2006/relationships/hyperlink" Target="https://app.dcoz.dc.gov/Content/Search/ViewCaseReport.aspx?case_id=11-08C" TargetMode="External"/><Relationship Id="rId98" Type="http://schemas.openxmlformats.org/officeDocument/2006/relationships/hyperlink" Target="https://app.dcoz.dc.gov/Content/Search/ViewCaseReport.aspx?case_id=10-26" TargetMode="External"/><Relationship Id="rId3" Type="http://schemas.openxmlformats.org/officeDocument/2006/relationships/hyperlink" Target="https://app.dcoz.dc.gov/Content/Search/ViewCaseReport.aspx?case_id=18-14" TargetMode="External"/><Relationship Id="rId25" Type="http://schemas.openxmlformats.org/officeDocument/2006/relationships/hyperlink" Target="https://app.dcoz.dc.gov/Content/Search/ViewCaseReport.aspx?case_id=15-33" TargetMode="External"/><Relationship Id="rId46" Type="http://schemas.openxmlformats.org/officeDocument/2006/relationships/hyperlink" Target="https://app.dcoz.dc.gov/Content/Search/ViewCaseReport.aspx?case_id=14-21" TargetMode="External"/><Relationship Id="rId67" Type="http://schemas.openxmlformats.org/officeDocument/2006/relationships/hyperlink" Target="https://app.dcoz.dc.gov/Content/Search/ViewCaseReport.aspx?case_id=13-12A" TargetMode="External"/><Relationship Id="rId20" Type="http://schemas.openxmlformats.org/officeDocument/2006/relationships/hyperlink" Target="https://app.dcoz.dc.gov/Content/Search/ViewCaseReport.aspx?case_id=16-07" TargetMode="External"/><Relationship Id="rId41" Type="http://schemas.openxmlformats.org/officeDocument/2006/relationships/hyperlink" Target="https://app.dcoz.dc.gov/Content/Search/ViewCaseReport.aspx?case_id=15-05" TargetMode="External"/><Relationship Id="rId62" Type="http://schemas.openxmlformats.org/officeDocument/2006/relationships/hyperlink" Target="https://app.dcoz.dc.gov/Content/Search/ViewCaseReport.aspx?case_id=13-18" TargetMode="External"/><Relationship Id="rId83" Type="http://schemas.openxmlformats.org/officeDocument/2006/relationships/hyperlink" Target="https://app.dcoz.dc.gov/Content/Search/ViewCaseReport.aspx?case_id=12-14" TargetMode="External"/><Relationship Id="rId88" Type="http://schemas.openxmlformats.org/officeDocument/2006/relationships/hyperlink" Target="https://app.dcoz.dc.gov/Content/Search/ViewCaseReport.aspx?case_id=11-13" TargetMode="External"/><Relationship Id="rId111" Type="http://schemas.openxmlformats.org/officeDocument/2006/relationships/hyperlink" Target="https://app.dcoz.dc.gov/Content/Search/ViewCaseReport.aspx?case_id=19-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EDB3A8-1300-494E-B2BE-DD128352B85D}">
  <dimension ref="A1:Z92"/>
  <sheetViews>
    <sheetView tabSelected="1" workbookViewId="0">
      <selection activeCell="B14" sqref="B14"/>
    </sheetView>
  </sheetViews>
  <sheetFormatPr defaultRowHeight="14.4" x14ac:dyDescent="0.3"/>
  <cols>
    <col min="2" max="2" width="14.77734375" customWidth="1"/>
    <col min="3" max="3" width="12.44140625" customWidth="1"/>
    <col min="4" max="4" width="13.77734375" customWidth="1"/>
  </cols>
  <sheetData>
    <row r="1" spans="1:26" ht="53.4" customHeight="1" x14ac:dyDescent="0.3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  <c r="H1" s="4" t="s">
        <v>7</v>
      </c>
      <c r="I1" s="4" t="s">
        <v>8</v>
      </c>
      <c r="J1" s="5" t="s">
        <v>9</v>
      </c>
      <c r="K1" s="4" t="s">
        <v>10</v>
      </c>
      <c r="L1" s="6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7" t="s">
        <v>18</v>
      </c>
      <c r="T1" s="49" t="s">
        <v>19</v>
      </c>
      <c r="U1" s="8" t="s">
        <v>20</v>
      </c>
      <c r="V1" s="9" t="s">
        <v>21</v>
      </c>
      <c r="W1" s="9" t="s">
        <v>22</v>
      </c>
      <c r="X1" s="9"/>
      <c r="Y1" s="9"/>
      <c r="Z1" s="9"/>
    </row>
    <row r="2" spans="1:26" s="45" customFormat="1" x14ac:dyDescent="0.3">
      <c r="A2" s="38" t="s">
        <v>434</v>
      </c>
      <c r="B2" s="28" t="s">
        <v>432</v>
      </c>
      <c r="C2" s="29" t="s">
        <v>433</v>
      </c>
      <c r="D2" s="28"/>
      <c r="E2" s="28" t="s">
        <v>83</v>
      </c>
      <c r="F2" s="28" t="s">
        <v>71</v>
      </c>
      <c r="G2" s="46" t="s">
        <v>31</v>
      </c>
      <c r="H2" s="40">
        <v>7.17</v>
      </c>
      <c r="I2" s="40">
        <v>223</v>
      </c>
      <c r="J2" s="45">
        <v>223</v>
      </c>
      <c r="K2" s="41">
        <v>29</v>
      </c>
      <c r="L2" s="42">
        <v>0.13</v>
      </c>
      <c r="M2" s="40">
        <v>3</v>
      </c>
      <c r="N2" s="40">
        <v>8</v>
      </c>
      <c r="O2" s="40">
        <v>18</v>
      </c>
      <c r="P2" s="40"/>
      <c r="Q2" s="40"/>
      <c r="R2" s="40"/>
      <c r="S2" s="43"/>
      <c r="T2" s="51">
        <v>56</v>
      </c>
      <c r="U2" s="44"/>
      <c r="V2" s="39"/>
      <c r="W2" s="39"/>
      <c r="X2" s="39"/>
      <c r="Y2" s="39"/>
      <c r="Z2" s="39"/>
    </row>
    <row r="3" spans="1:26" s="45" customFormat="1" x14ac:dyDescent="0.3">
      <c r="A3" s="38" t="s">
        <v>431</v>
      </c>
      <c r="B3" s="28" t="s">
        <v>429</v>
      </c>
      <c r="C3" s="31" t="s">
        <v>430</v>
      </c>
      <c r="D3" s="28"/>
      <c r="E3" s="28" t="s">
        <v>26</v>
      </c>
      <c r="F3" s="28" t="s">
        <v>35</v>
      </c>
      <c r="G3" s="46" t="s">
        <v>87</v>
      </c>
      <c r="H3" s="40">
        <v>2.59</v>
      </c>
      <c r="I3" s="40">
        <v>67</v>
      </c>
      <c r="J3" s="41">
        <v>67</v>
      </c>
      <c r="K3" s="40">
        <v>67</v>
      </c>
      <c r="L3" s="42">
        <v>1</v>
      </c>
      <c r="M3" s="40"/>
      <c r="N3" s="40"/>
      <c r="O3" s="40">
        <v>67</v>
      </c>
      <c r="P3" s="40"/>
      <c r="Q3" s="40"/>
      <c r="R3" s="40"/>
      <c r="S3" s="43"/>
      <c r="T3" s="51">
        <v>5</v>
      </c>
      <c r="U3" s="44"/>
      <c r="V3" s="39"/>
      <c r="W3" s="39"/>
      <c r="X3" s="39"/>
      <c r="Y3" s="39"/>
      <c r="Z3" s="39"/>
    </row>
    <row r="4" spans="1:26" s="36" customFormat="1" x14ac:dyDescent="0.3">
      <c r="A4" s="2" t="s">
        <v>424</v>
      </c>
      <c r="B4" s="28" t="s">
        <v>425</v>
      </c>
      <c r="C4" s="29" t="s">
        <v>426</v>
      </c>
      <c r="D4" s="1"/>
      <c r="E4" s="1" t="s">
        <v>51</v>
      </c>
      <c r="F4" s="1" t="s">
        <v>427</v>
      </c>
      <c r="G4" s="37" t="s">
        <v>428</v>
      </c>
      <c r="H4" s="30">
        <v>6.17</v>
      </c>
      <c r="I4" s="30">
        <v>900</v>
      </c>
      <c r="J4" s="32">
        <v>900</v>
      </c>
      <c r="K4" s="30">
        <v>79</v>
      </c>
      <c r="L4" s="33">
        <v>8.7800000000000003E-2</v>
      </c>
      <c r="M4" s="30"/>
      <c r="N4" s="30"/>
      <c r="O4" s="52"/>
      <c r="P4" s="30"/>
      <c r="Q4" s="30"/>
      <c r="R4" s="30"/>
      <c r="S4" s="34"/>
      <c r="T4" s="50">
        <v>174</v>
      </c>
      <c r="U4" s="35"/>
      <c r="V4" s="9"/>
      <c r="W4" s="9"/>
      <c r="X4" s="9"/>
      <c r="Y4" s="9"/>
      <c r="Z4" s="9"/>
    </row>
    <row r="5" spans="1:26" s="45" customFormat="1" x14ac:dyDescent="0.3">
      <c r="A5" s="38" t="s">
        <v>419</v>
      </c>
      <c r="B5" s="28" t="s">
        <v>420</v>
      </c>
      <c r="C5" s="29" t="s">
        <v>422</v>
      </c>
      <c r="D5" s="28" t="s">
        <v>421</v>
      </c>
      <c r="E5" s="28" t="s">
        <v>125</v>
      </c>
      <c r="F5" s="28" t="s">
        <v>423</v>
      </c>
      <c r="G5" s="46" t="s">
        <v>66</v>
      </c>
      <c r="H5" s="40">
        <v>1.29</v>
      </c>
      <c r="I5" s="40">
        <v>130</v>
      </c>
      <c r="J5" s="41">
        <v>130</v>
      </c>
      <c r="K5" s="40">
        <v>130</v>
      </c>
      <c r="L5" s="42">
        <v>1</v>
      </c>
      <c r="M5" s="40"/>
      <c r="N5" s="40"/>
      <c r="O5" s="53">
        <v>130</v>
      </c>
      <c r="P5" s="40"/>
      <c r="Q5" s="40"/>
      <c r="R5" s="40"/>
      <c r="S5" s="43"/>
      <c r="T5" s="51">
        <v>52</v>
      </c>
      <c r="U5" s="44"/>
      <c r="V5" s="39"/>
      <c r="W5" s="39"/>
      <c r="X5" s="39"/>
      <c r="Y5" s="39"/>
      <c r="Z5" s="39"/>
    </row>
    <row r="6" spans="1:26" s="45" customFormat="1" x14ac:dyDescent="0.3">
      <c r="A6" s="38" t="s">
        <v>418</v>
      </c>
      <c r="B6" s="28" t="s">
        <v>416</v>
      </c>
      <c r="C6" s="29" t="s">
        <v>417</v>
      </c>
      <c r="D6" s="28"/>
      <c r="E6" s="28" t="s">
        <v>125</v>
      </c>
      <c r="F6" s="28" t="s">
        <v>71</v>
      </c>
      <c r="G6" s="46" t="s">
        <v>26</v>
      </c>
      <c r="H6" s="40">
        <v>2.66</v>
      </c>
      <c r="I6" s="40">
        <v>360</v>
      </c>
      <c r="J6" s="41">
        <v>360</v>
      </c>
      <c r="K6" s="40">
        <v>41</v>
      </c>
      <c r="L6" s="42">
        <v>0.12</v>
      </c>
      <c r="M6" s="40"/>
      <c r="N6" s="40">
        <v>3</v>
      </c>
      <c r="O6" s="53">
        <v>38</v>
      </c>
      <c r="P6" s="40"/>
      <c r="Q6" s="40"/>
      <c r="R6" s="40"/>
      <c r="S6" s="43"/>
      <c r="T6" s="51">
        <v>103</v>
      </c>
      <c r="U6" s="44"/>
      <c r="V6" s="39"/>
      <c r="W6" s="39"/>
      <c r="X6" s="39"/>
      <c r="Y6" s="39"/>
      <c r="Z6" s="39"/>
    </row>
    <row r="7" spans="1:26" s="36" customFormat="1" ht="18" customHeight="1" x14ac:dyDescent="0.3">
      <c r="A7" s="2" t="s">
        <v>413</v>
      </c>
      <c r="B7" s="28" t="s">
        <v>414</v>
      </c>
      <c r="C7" s="31" t="s">
        <v>415</v>
      </c>
      <c r="D7" s="28"/>
      <c r="E7" s="1" t="s">
        <v>125</v>
      </c>
      <c r="F7" s="1" t="s">
        <v>40</v>
      </c>
      <c r="G7" s="37" t="s">
        <v>31</v>
      </c>
      <c r="H7" s="30">
        <v>2.68</v>
      </c>
      <c r="I7" s="30">
        <v>219</v>
      </c>
      <c r="J7" s="32">
        <v>219</v>
      </c>
      <c r="K7" s="30">
        <v>30</v>
      </c>
      <c r="L7" s="33">
        <v>0.13689999999999999</v>
      </c>
      <c r="M7" s="30"/>
      <c r="N7" s="30">
        <v>4</v>
      </c>
      <c r="O7" s="52">
        <v>26</v>
      </c>
      <c r="P7" s="30"/>
      <c r="Q7" s="30"/>
      <c r="R7" s="30"/>
      <c r="S7" s="34"/>
      <c r="T7" s="50">
        <v>370</v>
      </c>
      <c r="U7" s="35"/>
      <c r="V7" s="9"/>
      <c r="W7" s="9"/>
      <c r="X7" s="9"/>
      <c r="Y7" s="9"/>
      <c r="Z7" s="9"/>
    </row>
    <row r="8" spans="1:26" s="47" customFormat="1" x14ac:dyDescent="0.3">
      <c r="A8" s="54" t="s">
        <v>23</v>
      </c>
      <c r="B8" s="55" t="s">
        <v>24</v>
      </c>
      <c r="C8" s="56" t="s">
        <v>25</v>
      </c>
      <c r="D8" s="55"/>
      <c r="E8" s="55" t="s">
        <v>26</v>
      </c>
      <c r="F8" s="55" t="s">
        <v>27</v>
      </c>
      <c r="G8" s="47" t="s">
        <v>66</v>
      </c>
      <c r="H8" s="47">
        <v>2.2400000000000002</v>
      </c>
      <c r="I8" s="47">
        <v>70</v>
      </c>
      <c r="J8" s="47">
        <v>70</v>
      </c>
      <c r="K8" s="48">
        <v>70</v>
      </c>
      <c r="L8" s="57">
        <v>1</v>
      </c>
      <c r="M8" s="47">
        <v>7</v>
      </c>
      <c r="N8" s="47">
        <v>29</v>
      </c>
      <c r="O8" s="47">
        <v>16</v>
      </c>
      <c r="P8" s="47">
        <v>18</v>
      </c>
      <c r="T8" s="47">
        <v>14</v>
      </c>
      <c r="U8" s="58">
        <f>SUMIF('[1]CBA Breakdown'!A:A,A8,'[1]CBA Breakdown'!B:B)</f>
        <v>0</v>
      </c>
    </row>
    <row r="9" spans="1:26" s="47" customFormat="1" x14ac:dyDescent="0.3">
      <c r="A9" s="54" t="s">
        <v>28</v>
      </c>
      <c r="B9" s="55" t="s">
        <v>29</v>
      </c>
      <c r="C9" s="56" t="s">
        <v>30</v>
      </c>
      <c r="D9" s="55"/>
      <c r="E9" s="55" t="s">
        <v>31</v>
      </c>
      <c r="F9" s="55" t="s">
        <v>27</v>
      </c>
      <c r="G9" s="47" t="s">
        <v>52</v>
      </c>
      <c r="H9" s="47">
        <v>3.6</v>
      </c>
      <c r="I9" s="47">
        <v>377</v>
      </c>
      <c r="J9" s="47">
        <v>377</v>
      </c>
      <c r="K9" s="48">
        <v>46</v>
      </c>
      <c r="L9" s="57">
        <v>0.122</v>
      </c>
      <c r="M9" s="47">
        <v>23</v>
      </c>
      <c r="N9" s="47">
        <v>53</v>
      </c>
      <c r="O9" s="47">
        <v>252</v>
      </c>
      <c r="P9" s="47">
        <v>49</v>
      </c>
      <c r="T9" s="47">
        <v>186</v>
      </c>
      <c r="U9" s="58">
        <f>SUMIF('[1]CBA Breakdown'!A:A,A9,'[1]CBA Breakdown'!B:B)</f>
        <v>0</v>
      </c>
    </row>
    <row r="10" spans="1:26" s="47" customFormat="1" x14ac:dyDescent="0.3">
      <c r="A10" s="54" t="s">
        <v>32</v>
      </c>
      <c r="B10" s="55" t="s">
        <v>33</v>
      </c>
      <c r="C10" s="56" t="s">
        <v>34</v>
      </c>
      <c r="D10" s="55"/>
      <c r="E10" s="55" t="s">
        <v>26</v>
      </c>
      <c r="F10" s="55" t="s">
        <v>35</v>
      </c>
      <c r="G10" s="47" t="s">
        <v>66</v>
      </c>
      <c r="H10" s="47">
        <v>2.5499999999999998</v>
      </c>
      <c r="I10" s="47">
        <v>106</v>
      </c>
      <c r="J10" s="47">
        <v>106</v>
      </c>
      <c r="K10" s="48">
        <v>106</v>
      </c>
      <c r="L10" s="57">
        <v>1</v>
      </c>
      <c r="M10" s="47">
        <v>22</v>
      </c>
      <c r="N10" s="47">
        <v>72</v>
      </c>
      <c r="O10" s="47">
        <v>12</v>
      </c>
      <c r="T10" s="47">
        <v>17</v>
      </c>
      <c r="U10" s="58">
        <f>SUMIF('[1]CBA Breakdown'!A:A,A10,'[1]CBA Breakdown'!B:B)</f>
        <v>0</v>
      </c>
    </row>
    <row r="11" spans="1:26" x14ac:dyDescent="0.3">
      <c r="A11" s="11" t="s">
        <v>36</v>
      </c>
      <c r="B11" s="12" t="s">
        <v>37</v>
      </c>
      <c r="C11" s="13" t="s">
        <v>38</v>
      </c>
      <c r="D11" s="12"/>
      <c r="E11" s="12" t="s">
        <v>39</v>
      </c>
      <c r="F11" s="12" t="s">
        <v>40</v>
      </c>
      <c r="G11" s="16" t="s">
        <v>31</v>
      </c>
      <c r="H11" s="17">
        <v>5.04</v>
      </c>
      <c r="I11" s="17">
        <v>41</v>
      </c>
      <c r="J11" s="17">
        <v>41</v>
      </c>
      <c r="K11" s="10">
        <v>3</v>
      </c>
      <c r="L11" s="14">
        <f>K11/I11</f>
        <v>7.3170731707317069E-2</v>
      </c>
      <c r="M11" s="17"/>
      <c r="N11" s="17">
        <v>1</v>
      </c>
      <c r="O11" s="17">
        <v>2</v>
      </c>
      <c r="P11" s="17"/>
      <c r="T11" s="17">
        <v>9</v>
      </c>
      <c r="U11" s="15">
        <f>SUMIF('[1]CBA Breakdown'!A:A,A11,'[1]CBA Breakdown'!B:B)</f>
        <v>65000</v>
      </c>
      <c r="V11" s="17" t="s">
        <v>41</v>
      </c>
    </row>
    <row r="12" spans="1:26" s="47" customFormat="1" x14ac:dyDescent="0.3">
      <c r="A12" s="54" t="s">
        <v>385</v>
      </c>
      <c r="B12" s="55" t="s">
        <v>386</v>
      </c>
      <c r="C12" s="56" t="s">
        <v>387</v>
      </c>
      <c r="D12" s="55"/>
      <c r="E12" s="55" t="s">
        <v>31</v>
      </c>
      <c r="F12" s="55" t="s">
        <v>71</v>
      </c>
      <c r="G12" s="47" t="s">
        <v>87</v>
      </c>
      <c r="H12" s="47">
        <v>2.87</v>
      </c>
      <c r="I12" s="47">
        <v>82</v>
      </c>
      <c r="J12" s="47">
        <v>82</v>
      </c>
      <c r="K12" s="48">
        <v>5</v>
      </c>
      <c r="L12" s="57">
        <v>6.0900000000000003E-2</v>
      </c>
      <c r="P12" s="47">
        <v>5</v>
      </c>
      <c r="T12" s="47">
        <v>40</v>
      </c>
      <c r="U12" s="58">
        <f>SUMIF('[1]CBA Breakdown'!A:A,A12,'[1]CBA Breakdown'!B:B)</f>
        <v>0</v>
      </c>
    </row>
    <row r="13" spans="1:26" x14ac:dyDescent="0.3">
      <c r="A13" s="11" t="s">
        <v>42</v>
      </c>
      <c r="B13" s="12" t="s">
        <v>43</v>
      </c>
      <c r="C13" s="13" t="s">
        <v>44</v>
      </c>
      <c r="D13" s="12" t="s">
        <v>388</v>
      </c>
      <c r="E13" s="12" t="s">
        <v>31</v>
      </c>
      <c r="F13" s="12" t="s">
        <v>45</v>
      </c>
      <c r="G13" s="16" t="s">
        <v>46</v>
      </c>
      <c r="H13" s="17" t="s">
        <v>47</v>
      </c>
      <c r="I13" s="17">
        <v>183</v>
      </c>
      <c r="J13" s="17">
        <v>183</v>
      </c>
      <c r="K13" s="10">
        <f>183-18</f>
        <v>165</v>
      </c>
      <c r="L13" s="14">
        <f t="shared" ref="L13:L14" si="0">K13/J13</f>
        <v>0.90163934426229508</v>
      </c>
      <c r="M13" s="18"/>
      <c r="N13" s="18"/>
      <c r="O13" s="17">
        <v>165</v>
      </c>
      <c r="P13" s="18"/>
      <c r="Q13" s="18"/>
      <c r="R13" s="18"/>
      <c r="S13" s="18"/>
      <c r="T13" s="17">
        <v>146</v>
      </c>
      <c r="U13" s="15">
        <f>SUMIF('[1]CBA Breakdown'!A:A,A13,'[1]CBA Breakdown'!B:B)</f>
        <v>102000</v>
      </c>
    </row>
    <row r="14" spans="1:26" x14ac:dyDescent="0.3">
      <c r="A14" s="11" t="s">
        <v>48</v>
      </c>
      <c r="B14" s="12" t="s">
        <v>49</v>
      </c>
      <c r="C14" s="13" t="s">
        <v>50</v>
      </c>
      <c r="D14" s="12"/>
      <c r="E14" s="12" t="s">
        <v>51</v>
      </c>
      <c r="F14" s="12" t="s">
        <v>27</v>
      </c>
      <c r="G14" s="16" t="s">
        <v>52</v>
      </c>
      <c r="H14" s="17">
        <v>8.4</v>
      </c>
      <c r="I14" s="17">
        <v>299</v>
      </c>
      <c r="J14" s="17">
        <v>299</v>
      </c>
      <c r="K14" s="10">
        <v>36</v>
      </c>
      <c r="L14" s="14">
        <f t="shared" si="0"/>
        <v>0.12040133779264214</v>
      </c>
      <c r="M14" s="17"/>
      <c r="N14" s="17">
        <v>12</v>
      </c>
      <c r="O14" s="17">
        <v>24</v>
      </c>
      <c r="P14" s="17"/>
      <c r="Q14" s="17"/>
      <c r="R14" s="17"/>
      <c r="U14" s="15">
        <f>SUMIF('[1]CBA Breakdown'!A:A,A14,'[1]CBA Breakdown'!B:B)</f>
        <v>115000</v>
      </c>
      <c r="W14" s="17" t="s">
        <v>53</v>
      </c>
    </row>
    <row r="15" spans="1:26" x14ac:dyDescent="0.3">
      <c r="A15" s="11" t="s">
        <v>54</v>
      </c>
      <c r="B15" s="12" t="s">
        <v>55</v>
      </c>
      <c r="C15" s="19" t="s">
        <v>56</v>
      </c>
      <c r="D15" s="17"/>
      <c r="E15" s="12" t="s">
        <v>57</v>
      </c>
      <c r="F15" s="12" t="s">
        <v>45</v>
      </c>
      <c r="G15" s="16" t="s">
        <v>46</v>
      </c>
      <c r="H15" s="17">
        <v>4.59</v>
      </c>
      <c r="I15" s="17">
        <v>78</v>
      </c>
      <c r="J15" s="17">
        <v>94</v>
      </c>
      <c r="K15" s="10">
        <v>86</v>
      </c>
      <c r="L15" s="14">
        <v>1</v>
      </c>
      <c r="M15" s="17">
        <v>28</v>
      </c>
      <c r="O15">
        <f>86-28</f>
        <v>58</v>
      </c>
      <c r="T15" s="17">
        <v>20</v>
      </c>
      <c r="U15" s="15">
        <f>SUMIF('[1]CBA Breakdown'!A:A,A15,'[1]CBA Breakdown'!B:B)</f>
        <v>0</v>
      </c>
    </row>
    <row r="16" spans="1:26" x14ac:dyDescent="0.3">
      <c r="A16" s="11" t="s">
        <v>58</v>
      </c>
      <c r="B16" s="12" t="s">
        <v>59</v>
      </c>
      <c r="C16" s="13" t="s">
        <v>60</v>
      </c>
      <c r="D16" s="12"/>
      <c r="E16" s="12" t="s">
        <v>61</v>
      </c>
      <c r="F16" s="12" t="s">
        <v>27</v>
      </c>
      <c r="G16" s="17" t="s">
        <v>62</v>
      </c>
      <c r="H16" s="17">
        <v>3.5</v>
      </c>
      <c r="I16" s="17">
        <v>328</v>
      </c>
      <c r="J16" s="17">
        <v>328</v>
      </c>
      <c r="K16" s="10">
        <v>23</v>
      </c>
      <c r="L16" s="14">
        <f t="shared" ref="L16:L19" si="1">K16/J16</f>
        <v>7.0121951219512202E-2</v>
      </c>
      <c r="M16" s="18"/>
      <c r="N16" s="18"/>
      <c r="O16" s="16">
        <v>23</v>
      </c>
      <c r="P16" s="18"/>
      <c r="Q16" s="18"/>
      <c r="R16" s="18"/>
      <c r="S16" s="18"/>
      <c r="T16" s="17">
        <v>124</v>
      </c>
      <c r="U16" s="15">
        <f>SUMIF('[1]CBA Breakdown'!A:A,A16,'[1]CBA Breakdown'!B:B)</f>
        <v>725380</v>
      </c>
      <c r="V16" s="17" t="s">
        <v>41</v>
      </c>
      <c r="W16" s="17"/>
    </row>
    <row r="17" spans="1:23" x14ac:dyDescent="0.3">
      <c r="A17" s="11" t="s">
        <v>63</v>
      </c>
      <c r="B17" s="12" t="s">
        <v>64</v>
      </c>
      <c r="C17" s="13" t="s">
        <v>65</v>
      </c>
      <c r="D17" s="12" t="s">
        <v>389</v>
      </c>
      <c r="E17" s="12" t="s">
        <v>26</v>
      </c>
      <c r="F17" s="12" t="s">
        <v>45</v>
      </c>
      <c r="G17" s="17" t="s">
        <v>66</v>
      </c>
      <c r="H17" s="17">
        <v>1.88</v>
      </c>
      <c r="I17" s="17">
        <v>93</v>
      </c>
      <c r="J17" s="17">
        <v>100</v>
      </c>
      <c r="K17" s="10">
        <v>10</v>
      </c>
      <c r="L17" s="14">
        <f t="shared" si="1"/>
        <v>0.1</v>
      </c>
      <c r="M17" s="18"/>
      <c r="N17" s="18"/>
      <c r="O17" s="16">
        <v>10</v>
      </c>
      <c r="P17" s="18"/>
      <c r="Q17" s="18"/>
      <c r="R17" s="18"/>
      <c r="S17" s="18"/>
      <c r="T17" s="17">
        <v>48</v>
      </c>
      <c r="U17" s="15">
        <f>SUMIF('[1]CBA Breakdown'!A:A,A17,'[1]CBA Breakdown'!B:B)</f>
        <v>0</v>
      </c>
    </row>
    <row r="18" spans="1:23" x14ac:dyDescent="0.3">
      <c r="A18" s="11" t="s">
        <v>67</v>
      </c>
      <c r="B18" s="12" t="s">
        <v>68</v>
      </c>
      <c r="C18" s="13" t="s">
        <v>69</v>
      </c>
      <c r="D18" s="12"/>
      <c r="E18" s="12" t="s">
        <v>70</v>
      </c>
      <c r="F18" s="12" t="s">
        <v>71</v>
      </c>
      <c r="G18" s="17" t="s">
        <v>31</v>
      </c>
      <c r="H18" s="17">
        <v>11.35</v>
      </c>
      <c r="I18" s="17">
        <v>104</v>
      </c>
      <c r="J18" s="17">
        <v>104</v>
      </c>
      <c r="K18" s="10">
        <v>104</v>
      </c>
      <c r="L18" s="14">
        <f t="shared" si="1"/>
        <v>1</v>
      </c>
      <c r="M18" s="17">
        <v>16</v>
      </c>
      <c r="N18" s="17">
        <v>16</v>
      </c>
      <c r="O18" s="17">
        <v>72</v>
      </c>
      <c r="P18" s="17"/>
      <c r="Q18" s="17"/>
      <c r="R18" s="17"/>
      <c r="T18" s="17">
        <v>0</v>
      </c>
      <c r="U18" s="15">
        <f>SUMIF('[1]CBA Breakdown'!A:A,A18,'[1]CBA Breakdown'!B:B)</f>
        <v>114680</v>
      </c>
    </row>
    <row r="19" spans="1:23" x14ac:dyDescent="0.3">
      <c r="A19" s="11" t="s">
        <v>72</v>
      </c>
      <c r="B19" s="12" t="s">
        <v>73</v>
      </c>
      <c r="C19" s="13" t="s">
        <v>74</v>
      </c>
      <c r="D19" s="12"/>
      <c r="E19" s="12" t="s">
        <v>75</v>
      </c>
      <c r="F19" s="12" t="s">
        <v>40</v>
      </c>
      <c r="G19" s="17" t="s">
        <v>31</v>
      </c>
      <c r="H19" s="17">
        <v>5.73</v>
      </c>
      <c r="I19" s="17">
        <v>146</v>
      </c>
      <c r="J19" s="17">
        <v>146</v>
      </c>
      <c r="K19" s="10">
        <v>15</v>
      </c>
      <c r="L19" s="14">
        <f t="shared" si="1"/>
        <v>0.10273972602739725</v>
      </c>
      <c r="M19" s="18"/>
      <c r="N19" s="18"/>
      <c r="O19" s="17">
        <v>15</v>
      </c>
      <c r="P19" s="18"/>
      <c r="Q19" s="18"/>
      <c r="R19" s="18"/>
      <c r="S19" s="18"/>
      <c r="T19" s="17">
        <v>58</v>
      </c>
      <c r="U19" s="15">
        <f>SUMIF('[1]CBA Breakdown'!A:A,A19,'[1]CBA Breakdown'!B:B)</f>
        <v>0</v>
      </c>
      <c r="W19" s="17"/>
    </row>
    <row r="20" spans="1:23" hidden="1" x14ac:dyDescent="0.3">
      <c r="A20" s="20" t="s">
        <v>76</v>
      </c>
      <c r="B20" s="12" t="s">
        <v>77</v>
      </c>
      <c r="C20" s="13" t="s">
        <v>78</v>
      </c>
      <c r="D20" s="12"/>
      <c r="E20" s="12" t="s">
        <v>79</v>
      </c>
      <c r="F20" s="12" t="s">
        <v>35</v>
      </c>
      <c r="K20" s="21" t="e">
        <v>#N/A</v>
      </c>
      <c r="L20" s="14"/>
      <c r="U20" s="15">
        <f>SUMIF('[1]CBA Breakdown'!A:A,A20,'[1]CBA Breakdown'!B:B)</f>
        <v>0</v>
      </c>
    </row>
    <row r="21" spans="1:23" x14ac:dyDescent="0.3">
      <c r="A21" s="11" t="s">
        <v>80</v>
      </c>
      <c r="B21" s="12" t="s">
        <v>81</v>
      </c>
      <c r="C21" s="13" t="s">
        <v>82</v>
      </c>
      <c r="D21" s="12"/>
      <c r="E21" s="12" t="s">
        <v>83</v>
      </c>
      <c r="F21" s="12" t="s">
        <v>71</v>
      </c>
      <c r="G21" s="16" t="s">
        <v>31</v>
      </c>
      <c r="H21" s="17">
        <v>7.2</v>
      </c>
      <c r="J21" s="17">
        <v>85</v>
      </c>
      <c r="K21" s="10">
        <v>26</v>
      </c>
      <c r="L21" s="14">
        <f t="shared" ref="L21:L23" si="2">K21/J21</f>
        <v>0.30588235294117649</v>
      </c>
      <c r="M21" s="17"/>
      <c r="N21" s="17">
        <v>13</v>
      </c>
      <c r="O21" s="17"/>
      <c r="P21" s="17">
        <v>13</v>
      </c>
      <c r="Q21" s="17"/>
      <c r="R21" s="17"/>
      <c r="T21" s="17">
        <v>14</v>
      </c>
      <c r="U21" s="15">
        <f>SUMIF('[1]CBA Breakdown'!A:A,A21,'[1]CBA Breakdown'!B:B)</f>
        <v>125000</v>
      </c>
    </row>
    <row r="22" spans="1:23" x14ac:dyDescent="0.3">
      <c r="A22" s="11" t="s">
        <v>84</v>
      </c>
      <c r="B22" s="12" t="s">
        <v>85</v>
      </c>
      <c r="C22" s="13" t="s">
        <v>86</v>
      </c>
      <c r="D22" s="12" t="s">
        <v>390</v>
      </c>
      <c r="E22" s="12" t="s">
        <v>75</v>
      </c>
      <c r="F22" s="12" t="s">
        <v>45</v>
      </c>
      <c r="G22" s="17" t="s">
        <v>87</v>
      </c>
      <c r="H22" s="17">
        <v>3.5</v>
      </c>
      <c r="I22" s="17">
        <v>70</v>
      </c>
      <c r="J22" s="17">
        <v>70</v>
      </c>
      <c r="K22" s="10">
        <v>70</v>
      </c>
      <c r="L22" s="14">
        <f t="shared" si="2"/>
        <v>1</v>
      </c>
      <c r="M22" s="18"/>
      <c r="N22" s="18"/>
      <c r="O22" s="18"/>
      <c r="P22" s="18"/>
      <c r="Q22" s="18"/>
      <c r="R22" s="18"/>
      <c r="S22" s="18"/>
      <c r="T22" s="17">
        <v>17</v>
      </c>
      <c r="U22" s="15">
        <f>SUMIF('[1]CBA Breakdown'!A:A,A22,'[1]CBA Breakdown'!B:B)</f>
        <v>47000</v>
      </c>
      <c r="W22" s="17"/>
    </row>
    <row r="23" spans="1:23" x14ac:dyDescent="0.3">
      <c r="A23" s="11" t="s">
        <v>88</v>
      </c>
      <c r="B23" s="12" t="s">
        <v>89</v>
      </c>
      <c r="C23" s="13" t="s">
        <v>90</v>
      </c>
      <c r="D23" s="12"/>
      <c r="E23" s="12" t="s">
        <v>66</v>
      </c>
      <c r="F23" s="12" t="s">
        <v>27</v>
      </c>
      <c r="G23" s="16" t="s">
        <v>91</v>
      </c>
      <c r="H23" s="17">
        <v>0.95</v>
      </c>
      <c r="J23" s="17">
        <v>80</v>
      </c>
      <c r="K23" s="10">
        <v>10</v>
      </c>
      <c r="L23" s="14">
        <f t="shared" si="2"/>
        <v>0.125</v>
      </c>
      <c r="M23" s="17"/>
      <c r="N23" s="17">
        <v>6</v>
      </c>
      <c r="O23" s="17"/>
      <c r="P23" s="17">
        <v>4</v>
      </c>
      <c r="Q23" s="17"/>
      <c r="R23" s="17"/>
      <c r="T23" s="17">
        <v>43</v>
      </c>
      <c r="U23" s="15">
        <f>SUMIF('[1]CBA Breakdown'!A:A,A23,'[1]CBA Breakdown'!B:B)</f>
        <v>98000</v>
      </c>
      <c r="V23" s="17" t="s">
        <v>92</v>
      </c>
    </row>
    <row r="24" spans="1:23" x14ac:dyDescent="0.3">
      <c r="A24" s="11" t="s">
        <v>93</v>
      </c>
      <c r="B24" s="12" t="s">
        <v>94</v>
      </c>
      <c r="C24" s="13" t="s">
        <v>95</v>
      </c>
      <c r="D24" s="13" t="s">
        <v>391</v>
      </c>
      <c r="E24" s="12" t="s">
        <v>96</v>
      </c>
      <c r="F24" s="12" t="s">
        <v>71</v>
      </c>
      <c r="G24" s="17" t="s">
        <v>97</v>
      </c>
      <c r="H24" s="17">
        <v>6</v>
      </c>
      <c r="I24" s="17">
        <v>64</v>
      </c>
      <c r="J24" s="17">
        <v>64</v>
      </c>
      <c r="K24" s="22" t="s">
        <v>98</v>
      </c>
      <c r="L24" s="23" t="s">
        <v>99</v>
      </c>
      <c r="M24" s="17"/>
      <c r="N24" s="17"/>
      <c r="O24" s="17"/>
      <c r="P24" s="17"/>
      <c r="Q24" s="17"/>
      <c r="R24" s="17"/>
      <c r="S24" s="17" t="s">
        <v>100</v>
      </c>
      <c r="T24" s="17">
        <v>6</v>
      </c>
      <c r="U24" s="15">
        <f>SUMIF('[1]CBA Breakdown'!A:A,A24,'[1]CBA Breakdown'!B:B)</f>
        <v>635000</v>
      </c>
      <c r="W24" s="17" t="s">
        <v>101</v>
      </c>
    </row>
    <row r="25" spans="1:23" x14ac:dyDescent="0.3">
      <c r="A25" s="11" t="s">
        <v>102</v>
      </c>
      <c r="B25" s="12" t="s">
        <v>103</v>
      </c>
      <c r="C25" s="13" t="s">
        <v>104</v>
      </c>
      <c r="D25" s="12"/>
      <c r="E25" s="12" t="s">
        <v>79</v>
      </c>
      <c r="F25" s="12" t="s">
        <v>105</v>
      </c>
      <c r="G25" s="16" t="s">
        <v>106</v>
      </c>
      <c r="H25" s="17">
        <v>1.9</v>
      </c>
      <c r="J25" s="17">
        <v>189</v>
      </c>
      <c r="K25" s="10">
        <v>119</v>
      </c>
      <c r="L25" s="14">
        <f>K25/J25</f>
        <v>0.62962962962962965</v>
      </c>
      <c r="M25" s="18"/>
      <c r="N25" s="18"/>
      <c r="O25" s="18"/>
      <c r="P25" s="18"/>
      <c r="Q25" s="18"/>
      <c r="R25" s="18"/>
      <c r="S25" s="18">
        <v>0.6</v>
      </c>
      <c r="T25" s="17">
        <v>110</v>
      </c>
      <c r="U25" s="15">
        <f>SUMIF('[1]CBA Breakdown'!A:A,A25,'[1]CBA Breakdown'!B:B)</f>
        <v>0</v>
      </c>
    </row>
    <row r="26" spans="1:23" x14ac:dyDescent="0.3">
      <c r="A26" s="11" t="s">
        <v>107</v>
      </c>
      <c r="B26" s="12" t="s">
        <v>108</v>
      </c>
      <c r="C26" s="13" t="s">
        <v>109</v>
      </c>
      <c r="D26" s="12"/>
      <c r="E26" s="12" t="s">
        <v>110</v>
      </c>
      <c r="F26" s="12" t="s">
        <v>27</v>
      </c>
      <c r="G26" s="16" t="s">
        <v>97</v>
      </c>
      <c r="H26" s="17">
        <v>8</v>
      </c>
      <c r="I26" s="17">
        <v>99</v>
      </c>
      <c r="J26" s="17">
        <v>121</v>
      </c>
      <c r="K26" s="10">
        <v>14</v>
      </c>
      <c r="L26" s="14">
        <v>0.12</v>
      </c>
      <c r="M26" s="17"/>
      <c r="N26" s="17">
        <v>7</v>
      </c>
      <c r="O26" s="17"/>
      <c r="P26" s="17">
        <v>7</v>
      </c>
      <c r="Q26" s="17"/>
      <c r="R26" s="17"/>
      <c r="T26" s="17">
        <v>3</v>
      </c>
      <c r="U26" s="15">
        <f>SUMIF('[1]CBA Breakdown'!A:A,A26,'[1]CBA Breakdown'!B:B)</f>
        <v>1478000</v>
      </c>
      <c r="V26" s="17" t="s">
        <v>41</v>
      </c>
    </row>
    <row r="27" spans="1:23" x14ac:dyDescent="0.3">
      <c r="A27" s="11" t="s">
        <v>111</v>
      </c>
      <c r="B27" s="12" t="s">
        <v>112</v>
      </c>
      <c r="C27" s="13" t="s">
        <v>113</v>
      </c>
      <c r="D27" s="12"/>
      <c r="E27" s="12" t="s">
        <v>110</v>
      </c>
      <c r="F27" s="12" t="s">
        <v>71</v>
      </c>
      <c r="G27" s="17" t="s">
        <v>114</v>
      </c>
      <c r="H27" s="17">
        <v>5.25</v>
      </c>
      <c r="J27" s="17">
        <v>650</v>
      </c>
      <c r="K27" s="10">
        <v>50</v>
      </c>
      <c r="L27" s="14">
        <f t="shared" ref="L27:L29" si="3">K27/J27</f>
        <v>7.6923076923076927E-2</v>
      </c>
      <c r="M27" s="17"/>
      <c r="N27" s="17">
        <v>25</v>
      </c>
      <c r="O27" s="17"/>
      <c r="P27" s="17">
        <v>25</v>
      </c>
      <c r="Q27" s="17"/>
      <c r="R27" s="17"/>
      <c r="T27" s="17">
        <v>365</v>
      </c>
      <c r="U27" s="15">
        <f>SUMIF('[1]CBA Breakdown'!A:A,A27,'[1]CBA Breakdown'!B:B)</f>
        <v>100000</v>
      </c>
    </row>
    <row r="28" spans="1:23" x14ac:dyDescent="0.3">
      <c r="A28" s="11" t="s">
        <v>115</v>
      </c>
      <c r="B28" s="12" t="s">
        <v>116</v>
      </c>
      <c r="C28" s="13" t="s">
        <v>117</v>
      </c>
      <c r="D28" s="12"/>
      <c r="E28" s="12" t="s">
        <v>96</v>
      </c>
      <c r="F28" s="12" t="s">
        <v>71</v>
      </c>
      <c r="G28" s="16" t="s">
        <v>118</v>
      </c>
      <c r="H28" s="17">
        <v>6</v>
      </c>
      <c r="I28" s="24">
        <f>66*0.9</f>
        <v>59.4</v>
      </c>
      <c r="J28" s="24">
        <f>66*1.1</f>
        <v>72.600000000000009</v>
      </c>
      <c r="K28" s="10">
        <v>6</v>
      </c>
      <c r="L28" s="14">
        <f t="shared" si="3"/>
        <v>8.2644628099173542E-2</v>
      </c>
      <c r="M28" s="17"/>
      <c r="N28" s="17">
        <v>2</v>
      </c>
      <c r="O28" s="17"/>
      <c r="P28" s="17">
        <v>4</v>
      </c>
      <c r="Q28" s="17"/>
      <c r="R28" s="17"/>
      <c r="T28" s="17">
        <v>71</v>
      </c>
      <c r="U28" s="15">
        <f>SUMIF('[1]CBA Breakdown'!A:A,A28,'[1]CBA Breakdown'!B:B)</f>
        <v>625943</v>
      </c>
    </row>
    <row r="29" spans="1:23" x14ac:dyDescent="0.3">
      <c r="A29" s="11" t="s">
        <v>119</v>
      </c>
      <c r="B29" s="12" t="s">
        <v>120</v>
      </c>
      <c r="C29" s="13" t="s">
        <v>121</v>
      </c>
      <c r="D29" s="12"/>
      <c r="E29" s="12" t="s">
        <v>110</v>
      </c>
      <c r="F29" s="12" t="s">
        <v>27</v>
      </c>
      <c r="G29" s="16" t="s">
        <v>97</v>
      </c>
      <c r="H29" s="17">
        <v>8</v>
      </c>
      <c r="J29" s="17">
        <v>280</v>
      </c>
      <c r="K29" s="10">
        <v>30</v>
      </c>
      <c r="L29" s="14">
        <f t="shared" si="3"/>
        <v>0.10714285714285714</v>
      </c>
      <c r="M29" s="17"/>
      <c r="N29" s="17">
        <v>15</v>
      </c>
      <c r="O29" s="17"/>
      <c r="P29" s="17">
        <v>15</v>
      </c>
      <c r="Q29" s="17"/>
      <c r="R29" s="17"/>
      <c r="T29" s="17">
        <v>160</v>
      </c>
      <c r="U29" s="15">
        <f>SUMIF('[1]CBA Breakdown'!A:A,A29,'[1]CBA Breakdown'!B:B)</f>
        <v>0</v>
      </c>
    </row>
    <row r="30" spans="1:23" x14ac:dyDescent="0.3">
      <c r="A30" s="11" t="s">
        <v>122</v>
      </c>
      <c r="B30" s="12" t="s">
        <v>123</v>
      </c>
      <c r="C30" s="13" t="s">
        <v>124</v>
      </c>
      <c r="D30" s="12"/>
      <c r="E30" s="12" t="s">
        <v>125</v>
      </c>
      <c r="F30" s="12" t="s">
        <v>71</v>
      </c>
      <c r="G30" s="16" t="s">
        <v>126</v>
      </c>
      <c r="H30" s="17">
        <v>0.94</v>
      </c>
      <c r="I30" s="17">
        <v>0</v>
      </c>
      <c r="J30" s="17">
        <v>0</v>
      </c>
      <c r="K30" s="21">
        <v>0</v>
      </c>
      <c r="L30" s="14" t="s">
        <v>127</v>
      </c>
      <c r="M30" s="17"/>
      <c r="N30" s="17"/>
      <c r="O30" s="17"/>
      <c r="P30" s="17"/>
      <c r="Q30" s="17"/>
      <c r="R30" s="17"/>
      <c r="S30" s="17" t="s">
        <v>127</v>
      </c>
      <c r="T30" s="17">
        <v>0</v>
      </c>
      <c r="U30" s="15">
        <f>SUMIF('[1]CBA Breakdown'!A:A,A30,'[1]CBA Breakdown'!B:B)</f>
        <v>625</v>
      </c>
    </row>
    <row r="31" spans="1:23" x14ac:dyDescent="0.3">
      <c r="A31" s="11" t="s">
        <v>129</v>
      </c>
      <c r="B31" s="12" t="s">
        <v>130</v>
      </c>
      <c r="C31" s="13" t="s">
        <v>131</v>
      </c>
      <c r="D31" s="13" t="s">
        <v>132</v>
      </c>
      <c r="E31" s="12" t="s">
        <v>126</v>
      </c>
      <c r="F31" s="12" t="s">
        <v>105</v>
      </c>
      <c r="G31" s="16" t="s">
        <v>126</v>
      </c>
      <c r="H31" s="17">
        <v>7.42</v>
      </c>
      <c r="J31" s="17">
        <v>428</v>
      </c>
      <c r="K31" s="21">
        <v>129</v>
      </c>
      <c r="L31" s="14">
        <f t="shared" ref="L31:L33" si="4">K31/J31</f>
        <v>0.30140186915887851</v>
      </c>
      <c r="M31" s="17">
        <v>32</v>
      </c>
      <c r="N31" s="17">
        <v>97</v>
      </c>
      <c r="O31" s="17"/>
      <c r="P31" s="17"/>
      <c r="U31" s="15">
        <f>SUMIF('[1]CBA Breakdown'!A:A,A31,'[1]CBA Breakdown'!B:B)</f>
        <v>0</v>
      </c>
    </row>
    <row r="32" spans="1:23" x14ac:dyDescent="0.3">
      <c r="A32" s="11" t="s">
        <v>133</v>
      </c>
      <c r="B32" s="12" t="s">
        <v>134</v>
      </c>
      <c r="C32" s="13" t="s">
        <v>135</v>
      </c>
      <c r="D32" s="12" t="s">
        <v>392</v>
      </c>
      <c r="E32" s="12" t="s">
        <v>79</v>
      </c>
      <c r="F32" s="12" t="s">
        <v>71</v>
      </c>
      <c r="G32" s="16" t="s">
        <v>97</v>
      </c>
      <c r="H32" s="17">
        <v>3</v>
      </c>
      <c r="J32" s="17">
        <v>153</v>
      </c>
      <c r="K32" s="21">
        <v>15</v>
      </c>
      <c r="L32" s="14">
        <f t="shared" si="4"/>
        <v>9.8039215686274508E-2</v>
      </c>
      <c r="M32" s="17"/>
      <c r="N32" s="17">
        <v>9</v>
      </c>
      <c r="O32" s="17"/>
      <c r="P32" s="17">
        <v>6</v>
      </c>
      <c r="T32" s="17">
        <v>90</v>
      </c>
      <c r="U32" s="15">
        <f>SUMIF('[1]CBA Breakdown'!A:A,A32,'[1]CBA Breakdown'!B:B)</f>
        <v>85000</v>
      </c>
    </row>
    <row r="33" spans="1:23" x14ac:dyDescent="0.3">
      <c r="A33" s="11" t="s">
        <v>136</v>
      </c>
      <c r="B33" s="12" t="s">
        <v>137</v>
      </c>
      <c r="C33" s="13" t="s">
        <v>138</v>
      </c>
      <c r="D33" s="12"/>
      <c r="E33" s="12" t="s">
        <v>139</v>
      </c>
      <c r="F33" s="12" t="s">
        <v>128</v>
      </c>
      <c r="G33" s="16" t="s">
        <v>140</v>
      </c>
      <c r="H33" s="17">
        <v>5.3</v>
      </c>
      <c r="J33" s="17">
        <v>33</v>
      </c>
      <c r="K33" s="21">
        <v>2</v>
      </c>
      <c r="L33" s="14">
        <f t="shared" si="4"/>
        <v>6.0606060606060608E-2</v>
      </c>
      <c r="M33" s="17"/>
      <c r="N33" s="17">
        <v>1</v>
      </c>
      <c r="O33" s="17"/>
      <c r="P33" s="17">
        <v>1</v>
      </c>
      <c r="T33" s="17">
        <v>11</v>
      </c>
      <c r="U33" s="15">
        <f>SUMIF('[1]CBA Breakdown'!A:A,A33,'[1]CBA Breakdown'!B:B)</f>
        <v>12500</v>
      </c>
    </row>
    <row r="34" spans="1:23" x14ac:dyDescent="0.3">
      <c r="A34" s="11" t="s">
        <v>141</v>
      </c>
      <c r="B34" s="12" t="s">
        <v>142</v>
      </c>
      <c r="C34" s="13" t="s">
        <v>143</v>
      </c>
      <c r="D34" s="12" t="s">
        <v>393</v>
      </c>
      <c r="E34" s="12" t="s">
        <v>96</v>
      </c>
      <c r="F34" s="12" t="s">
        <v>27</v>
      </c>
      <c r="G34" s="16" t="s">
        <v>144</v>
      </c>
      <c r="H34" s="17">
        <v>6</v>
      </c>
      <c r="I34">
        <f>180*0.9</f>
        <v>162</v>
      </c>
      <c r="J34" s="17">
        <f>180*1.1</f>
        <v>198.00000000000003</v>
      </c>
      <c r="K34" s="25">
        <f>180*0.08</f>
        <v>14.4</v>
      </c>
      <c r="L34" s="14">
        <v>0.08</v>
      </c>
      <c r="N34" s="17">
        <v>7</v>
      </c>
      <c r="P34" s="17">
        <v>7</v>
      </c>
      <c r="T34" s="17">
        <v>45</v>
      </c>
      <c r="U34" s="15">
        <f>SUMIF('[1]CBA Breakdown'!A:A,A34,'[1]CBA Breakdown'!B:B)</f>
        <v>76075</v>
      </c>
      <c r="V34" s="17" t="s">
        <v>41</v>
      </c>
    </row>
    <row r="35" spans="1:23" x14ac:dyDescent="0.3">
      <c r="A35" s="11" t="s">
        <v>145</v>
      </c>
      <c r="B35" s="12" t="s">
        <v>146</v>
      </c>
      <c r="C35" s="13" t="s">
        <v>147</v>
      </c>
      <c r="D35" s="12"/>
      <c r="E35" s="12" t="s">
        <v>110</v>
      </c>
      <c r="F35" s="12" t="s">
        <v>71</v>
      </c>
      <c r="G35" s="16" t="s">
        <v>97</v>
      </c>
      <c r="H35" s="17">
        <v>6.67</v>
      </c>
      <c r="J35" s="17">
        <v>372</v>
      </c>
      <c r="K35" s="10">
        <v>46</v>
      </c>
      <c r="L35" s="14">
        <f t="shared" ref="L35:L36" si="5">K35/J35</f>
        <v>0.12365591397849462</v>
      </c>
      <c r="M35" s="17"/>
      <c r="N35" s="17">
        <v>13</v>
      </c>
      <c r="O35" s="17"/>
      <c r="P35" s="17">
        <v>13</v>
      </c>
      <c r="Q35" s="17"/>
      <c r="R35" s="17"/>
      <c r="T35" s="17">
        <v>240</v>
      </c>
      <c r="U35" s="15">
        <f>SUMIF('[1]CBA Breakdown'!A:A,A35,'[1]CBA Breakdown'!B:B)</f>
        <v>150000</v>
      </c>
    </row>
    <row r="36" spans="1:23" x14ac:dyDescent="0.3">
      <c r="A36" s="11" t="s">
        <v>148</v>
      </c>
      <c r="B36" s="12" t="s">
        <v>149</v>
      </c>
      <c r="C36" s="13" t="s">
        <v>150</v>
      </c>
      <c r="D36" s="27" t="s">
        <v>394</v>
      </c>
      <c r="E36" s="12" t="s">
        <v>110</v>
      </c>
      <c r="F36" s="12" t="s">
        <v>27</v>
      </c>
      <c r="G36" s="16" t="s">
        <v>97</v>
      </c>
      <c r="H36" s="17">
        <v>7.1</v>
      </c>
      <c r="J36" s="17">
        <v>977</v>
      </c>
      <c r="K36" s="10">
        <v>124</v>
      </c>
      <c r="L36" s="14">
        <f t="shared" si="5"/>
        <v>0.12691914022517911</v>
      </c>
      <c r="M36" s="17"/>
      <c r="N36" s="17">
        <v>62</v>
      </c>
      <c r="O36" s="17"/>
      <c r="P36" s="17">
        <v>62</v>
      </c>
      <c r="Q36" s="17"/>
      <c r="R36" s="17"/>
      <c r="T36" s="17">
        <v>682</v>
      </c>
      <c r="U36" s="15">
        <f>SUMIF('[1]CBA Breakdown'!A:A,A36,'[1]CBA Breakdown'!B:B)</f>
        <v>422000</v>
      </c>
    </row>
    <row r="37" spans="1:23" x14ac:dyDescent="0.3">
      <c r="A37" s="11" t="s">
        <v>151</v>
      </c>
      <c r="B37" s="12" t="s">
        <v>152</v>
      </c>
      <c r="C37" s="13" t="s">
        <v>153</v>
      </c>
      <c r="D37" s="12"/>
      <c r="E37" s="12" t="s">
        <v>154</v>
      </c>
      <c r="F37" s="12" t="s">
        <v>27</v>
      </c>
      <c r="G37" s="16" t="s">
        <v>97</v>
      </c>
      <c r="H37" s="17">
        <v>5.45</v>
      </c>
      <c r="J37">
        <f>K37*10</f>
        <v>1450</v>
      </c>
      <c r="K37" s="10">
        <v>145</v>
      </c>
      <c r="L37" s="14">
        <v>0.1</v>
      </c>
      <c r="N37" s="24">
        <v>101</v>
      </c>
      <c r="P37" s="24">
        <f>K37*0.3</f>
        <v>43.5</v>
      </c>
      <c r="T37" s="17">
        <v>992</v>
      </c>
      <c r="U37" s="15">
        <f>SUMIF('[1]CBA Breakdown'!A:A,A37,'[1]CBA Breakdown'!B:B)</f>
        <v>220000</v>
      </c>
    </row>
    <row r="38" spans="1:23" x14ac:dyDescent="0.3">
      <c r="A38" s="11" t="s">
        <v>155</v>
      </c>
      <c r="B38" s="12" t="s">
        <v>156</v>
      </c>
      <c r="C38" s="13" t="s">
        <v>157</v>
      </c>
      <c r="D38" t="s">
        <v>395</v>
      </c>
      <c r="E38" s="12" t="s">
        <v>110</v>
      </c>
      <c r="F38" s="12" t="s">
        <v>71</v>
      </c>
      <c r="G38" s="16" t="s">
        <v>97</v>
      </c>
      <c r="H38" s="17">
        <v>7.5</v>
      </c>
      <c r="I38" s="17">
        <v>50</v>
      </c>
      <c r="J38" s="17">
        <v>61</v>
      </c>
      <c r="K38" s="10">
        <v>4</v>
      </c>
      <c r="L38" s="14">
        <v>0.08</v>
      </c>
      <c r="N38" s="17">
        <v>2</v>
      </c>
      <c r="P38" s="17">
        <v>2</v>
      </c>
      <c r="T38" s="17">
        <v>0</v>
      </c>
      <c r="U38" s="15">
        <f>SUMIF('[1]CBA Breakdown'!A:A,A38,'[1]CBA Breakdown'!B:B)</f>
        <v>0</v>
      </c>
      <c r="V38" s="17" t="s">
        <v>41</v>
      </c>
    </row>
    <row r="39" spans="1:23" x14ac:dyDescent="0.3">
      <c r="A39" s="11" t="s">
        <v>158</v>
      </c>
      <c r="B39" s="12" t="s">
        <v>159</v>
      </c>
      <c r="C39" s="13" t="s">
        <v>160</v>
      </c>
      <c r="D39" s="27" t="s">
        <v>396</v>
      </c>
      <c r="E39" s="12" t="s">
        <v>161</v>
      </c>
      <c r="F39" s="12" t="s">
        <v>45</v>
      </c>
      <c r="G39" s="16" t="s">
        <v>162</v>
      </c>
      <c r="H39" s="17">
        <v>3</v>
      </c>
      <c r="J39" s="17">
        <v>530</v>
      </c>
      <c r="K39" s="10">
        <v>530</v>
      </c>
      <c r="L39" s="14">
        <f t="shared" ref="L39:L40" si="6">K39/J39</f>
        <v>1</v>
      </c>
      <c r="N39" s="17">
        <v>290</v>
      </c>
      <c r="O39" s="17">
        <v>133</v>
      </c>
      <c r="P39" s="17">
        <v>65</v>
      </c>
      <c r="Q39" s="17"/>
      <c r="R39" s="17">
        <v>42</v>
      </c>
      <c r="T39" s="17">
        <v>304</v>
      </c>
      <c r="U39" s="15">
        <f>SUMIF('[1]CBA Breakdown'!A:A,A39,'[1]CBA Breakdown'!B:B)</f>
        <v>0</v>
      </c>
    </row>
    <row r="40" spans="1:23" x14ac:dyDescent="0.3">
      <c r="A40" s="11" t="s">
        <v>163</v>
      </c>
      <c r="B40" s="12" t="s">
        <v>164</v>
      </c>
      <c r="C40" s="13" t="s">
        <v>165</v>
      </c>
      <c r="D40" s="12" t="s">
        <v>397</v>
      </c>
      <c r="E40" s="12" t="s">
        <v>110</v>
      </c>
      <c r="F40" s="12" t="s">
        <v>71</v>
      </c>
      <c r="G40" s="17" t="s">
        <v>106</v>
      </c>
      <c r="H40" s="17">
        <v>5.24</v>
      </c>
      <c r="J40" s="17">
        <v>1131</v>
      </c>
      <c r="K40" s="21">
        <v>199</v>
      </c>
      <c r="L40" s="14">
        <f t="shared" si="6"/>
        <v>0.17595048629531387</v>
      </c>
      <c r="O40" s="17">
        <v>199</v>
      </c>
      <c r="T40" s="17">
        <v>746</v>
      </c>
      <c r="U40" s="15">
        <f>SUMIF('[1]CBA Breakdown'!A:A,A40,'[1]CBA Breakdown'!B:B)</f>
        <v>3692000</v>
      </c>
      <c r="W40" s="17" t="s">
        <v>166</v>
      </c>
    </row>
    <row r="41" spans="1:23" x14ac:dyDescent="0.3">
      <c r="A41" s="11" t="s">
        <v>167</v>
      </c>
      <c r="B41" s="12" t="s">
        <v>168</v>
      </c>
      <c r="C41" s="19" t="s">
        <v>169</v>
      </c>
      <c r="D41" s="17" t="s">
        <v>398</v>
      </c>
      <c r="E41" s="12" t="s">
        <v>170</v>
      </c>
      <c r="F41" s="12" t="s">
        <v>128</v>
      </c>
      <c r="G41" s="16" t="s">
        <v>171</v>
      </c>
      <c r="H41" s="17">
        <v>3.5</v>
      </c>
      <c r="J41" s="17">
        <v>7</v>
      </c>
      <c r="K41" s="21">
        <v>0</v>
      </c>
      <c r="L41" s="14">
        <v>0</v>
      </c>
      <c r="T41" s="17">
        <v>0</v>
      </c>
      <c r="U41" s="15">
        <f>SUMIF('[1]CBA Breakdown'!A:A,A41,'[1]CBA Breakdown'!B:B)</f>
        <v>559604</v>
      </c>
      <c r="V41" s="17" t="s">
        <v>41</v>
      </c>
    </row>
    <row r="42" spans="1:23" x14ac:dyDescent="0.3">
      <c r="A42" s="11" t="s">
        <v>172</v>
      </c>
      <c r="B42" s="12" t="s">
        <v>173</v>
      </c>
      <c r="C42" s="13" t="s">
        <v>174</v>
      </c>
      <c r="D42" s="12" t="s">
        <v>399</v>
      </c>
      <c r="E42" s="12" t="s">
        <v>126</v>
      </c>
      <c r="F42" s="12" t="s">
        <v>27</v>
      </c>
      <c r="G42" s="16" t="s">
        <v>175</v>
      </c>
      <c r="H42" s="17">
        <v>8</v>
      </c>
      <c r="J42" s="17">
        <v>695</v>
      </c>
      <c r="K42" s="10">
        <v>56</v>
      </c>
      <c r="L42" s="14">
        <f>K42/J42</f>
        <v>8.0575539568345317E-2</v>
      </c>
      <c r="N42" s="17">
        <v>28</v>
      </c>
      <c r="P42" s="17">
        <v>28</v>
      </c>
      <c r="T42" s="17">
        <v>331</v>
      </c>
      <c r="U42" s="15">
        <f>SUMIF('[1]CBA Breakdown'!A:A,A42,'[1]CBA Breakdown'!B:B)</f>
        <v>288000</v>
      </c>
    </row>
    <row r="43" spans="1:23" x14ac:dyDescent="0.3">
      <c r="A43" s="11" t="s">
        <v>176</v>
      </c>
      <c r="B43" s="12" t="s">
        <v>177</v>
      </c>
      <c r="C43" s="13" t="s">
        <v>178</v>
      </c>
      <c r="D43" s="12"/>
      <c r="E43" s="12" t="s">
        <v>179</v>
      </c>
      <c r="F43" s="12" t="s">
        <v>71</v>
      </c>
      <c r="G43" s="16" t="s">
        <v>180</v>
      </c>
      <c r="H43" s="17">
        <v>1.39</v>
      </c>
      <c r="K43" s="21" t="e">
        <v>#N/A</v>
      </c>
      <c r="L43" s="14"/>
      <c r="U43" s="15">
        <f>SUMIF('[1]CBA Breakdown'!A:A,A43,'[1]CBA Breakdown'!B:B)</f>
        <v>0</v>
      </c>
    </row>
    <row r="44" spans="1:23" x14ac:dyDescent="0.3">
      <c r="A44" s="11" t="s">
        <v>181</v>
      </c>
      <c r="B44" s="12" t="s">
        <v>182</v>
      </c>
      <c r="C44" s="13" t="s">
        <v>183</v>
      </c>
      <c r="D44" s="12" t="s">
        <v>400</v>
      </c>
      <c r="E44" s="12" t="s">
        <v>79</v>
      </c>
      <c r="F44" s="12" t="s">
        <v>71</v>
      </c>
      <c r="G44" s="17" t="s">
        <v>184</v>
      </c>
      <c r="H44" s="17">
        <v>2.92</v>
      </c>
      <c r="J44" s="17">
        <v>44</v>
      </c>
      <c r="K44" s="10">
        <v>5</v>
      </c>
      <c r="L44" s="14">
        <f>K44/J44</f>
        <v>0.11363636363636363</v>
      </c>
      <c r="N44" s="17">
        <v>4</v>
      </c>
      <c r="P44" s="17">
        <v>1</v>
      </c>
      <c r="T44" s="17">
        <v>45</v>
      </c>
      <c r="U44" s="15">
        <f>SUMIF('[1]CBA Breakdown'!A:A,A44,'[1]CBA Breakdown'!B:B)</f>
        <v>71000</v>
      </c>
      <c r="W44" s="17"/>
    </row>
    <row r="45" spans="1:23" x14ac:dyDescent="0.3">
      <c r="A45" s="11" t="s">
        <v>185</v>
      </c>
      <c r="B45" s="12" t="s">
        <v>186</v>
      </c>
      <c r="C45" s="13" t="s">
        <v>187</v>
      </c>
      <c r="D45" s="12"/>
      <c r="E45" s="12" t="s">
        <v>96</v>
      </c>
      <c r="F45" s="12" t="s">
        <v>71</v>
      </c>
      <c r="G45" s="16" t="s">
        <v>188</v>
      </c>
      <c r="H45" s="17">
        <v>5.29</v>
      </c>
      <c r="I45" s="17">
        <v>170</v>
      </c>
      <c r="J45" s="17">
        <v>190</v>
      </c>
      <c r="K45" s="10">
        <v>13</v>
      </c>
      <c r="L45" s="14">
        <f>K45/I45</f>
        <v>7.6470588235294124E-2</v>
      </c>
      <c r="O45" s="17">
        <v>4</v>
      </c>
      <c r="P45" s="17">
        <v>9</v>
      </c>
      <c r="T45" s="17">
        <v>116</v>
      </c>
      <c r="U45" s="15">
        <f>SUMIF('[1]CBA Breakdown'!A:A,A45,'[1]CBA Breakdown'!B:B)</f>
        <v>55000</v>
      </c>
      <c r="W45" s="17"/>
    </row>
    <row r="46" spans="1:23" x14ac:dyDescent="0.3">
      <c r="A46" s="11" t="s">
        <v>189</v>
      </c>
      <c r="B46" s="12" t="s">
        <v>190</v>
      </c>
      <c r="C46" s="13" t="s">
        <v>191</v>
      </c>
      <c r="D46" s="12"/>
      <c r="E46" s="12" t="s">
        <v>79</v>
      </c>
      <c r="F46" s="12" t="s">
        <v>45</v>
      </c>
      <c r="G46" s="16" t="s">
        <v>97</v>
      </c>
      <c r="H46" s="17">
        <v>1.63</v>
      </c>
      <c r="J46" s="17">
        <v>150</v>
      </c>
      <c r="K46" s="10">
        <v>150</v>
      </c>
      <c r="L46" s="14">
        <f>K46/J46</f>
        <v>1</v>
      </c>
      <c r="M46" s="17">
        <v>38</v>
      </c>
      <c r="O46" s="17">
        <v>97</v>
      </c>
      <c r="P46" s="17">
        <v>15</v>
      </c>
      <c r="T46" s="17">
        <v>75</v>
      </c>
      <c r="U46" s="15">
        <f>SUMIF('[1]CBA Breakdown'!A:A,A46,'[1]CBA Breakdown'!B:B)</f>
        <v>0</v>
      </c>
    </row>
    <row r="47" spans="1:23" x14ac:dyDescent="0.3">
      <c r="A47" s="11" t="s">
        <v>192</v>
      </c>
      <c r="B47" s="12" t="s">
        <v>193</v>
      </c>
      <c r="C47" s="13" t="s">
        <v>194</v>
      </c>
      <c r="D47" s="12"/>
      <c r="E47" s="12" t="s">
        <v>125</v>
      </c>
      <c r="F47" s="12" t="s">
        <v>71</v>
      </c>
      <c r="G47" s="16" t="s">
        <v>195</v>
      </c>
      <c r="H47" s="17">
        <v>6</v>
      </c>
      <c r="I47" s="17">
        <v>105</v>
      </c>
      <c r="J47" s="17">
        <v>135</v>
      </c>
      <c r="K47" s="10">
        <v>9</v>
      </c>
      <c r="L47" s="14">
        <f>K47/I47</f>
        <v>8.5714285714285715E-2</v>
      </c>
      <c r="N47" s="17">
        <v>1</v>
      </c>
      <c r="O47" s="17">
        <v>1</v>
      </c>
      <c r="P47" s="17">
        <v>7</v>
      </c>
      <c r="T47" s="17">
        <v>30</v>
      </c>
      <c r="U47" s="15">
        <f>SUMIF('[1]CBA Breakdown'!A:A,A47,'[1]CBA Breakdown'!B:B)</f>
        <v>0</v>
      </c>
    </row>
    <row r="48" spans="1:23" x14ac:dyDescent="0.3">
      <c r="A48" s="11" t="s">
        <v>196</v>
      </c>
      <c r="B48" s="12" t="s">
        <v>197</v>
      </c>
      <c r="C48" s="13" t="s">
        <v>198</v>
      </c>
      <c r="D48" s="12"/>
      <c r="E48" s="12" t="s">
        <v>144</v>
      </c>
      <c r="F48" s="12" t="s">
        <v>71</v>
      </c>
      <c r="G48" s="16" t="s">
        <v>79</v>
      </c>
      <c r="H48" s="17">
        <v>4.57</v>
      </c>
      <c r="J48" s="17">
        <v>167</v>
      </c>
      <c r="K48" s="10">
        <v>21</v>
      </c>
      <c r="L48" s="14">
        <f t="shared" ref="L48:L52" si="7">K48/J48</f>
        <v>0.12574850299401197</v>
      </c>
      <c r="N48" s="17">
        <v>8</v>
      </c>
      <c r="P48" s="17">
        <v>12</v>
      </c>
      <c r="T48" s="17">
        <v>20</v>
      </c>
      <c r="U48" s="15">
        <f>SUMIF('[1]CBA Breakdown'!A:A,A48,'[1]CBA Breakdown'!B:B)</f>
        <v>25000</v>
      </c>
    </row>
    <row r="49" spans="1:23" x14ac:dyDescent="0.3">
      <c r="A49" s="11" t="s">
        <v>199</v>
      </c>
      <c r="B49" s="12" t="s">
        <v>200</v>
      </c>
      <c r="C49" s="13" t="s">
        <v>201</v>
      </c>
      <c r="D49" s="12"/>
      <c r="E49" s="12" t="s">
        <v>106</v>
      </c>
      <c r="F49" s="12" t="s">
        <v>27</v>
      </c>
      <c r="G49" s="16" t="s">
        <v>202</v>
      </c>
      <c r="H49" s="17">
        <v>0.49</v>
      </c>
      <c r="J49" s="17">
        <v>40</v>
      </c>
      <c r="K49" s="10">
        <v>5</v>
      </c>
      <c r="L49" s="14">
        <f t="shared" si="7"/>
        <v>0.125</v>
      </c>
      <c r="N49" s="17">
        <v>2</v>
      </c>
      <c r="P49" s="17">
        <v>3</v>
      </c>
      <c r="T49" s="17">
        <v>57</v>
      </c>
      <c r="U49" s="15">
        <f>SUMIF('[1]CBA Breakdown'!A:A,A49,'[1]CBA Breakdown'!B:B)</f>
        <v>106500</v>
      </c>
    </row>
    <row r="50" spans="1:23" x14ac:dyDescent="0.3">
      <c r="A50" s="11" t="s">
        <v>203</v>
      </c>
      <c r="B50" s="12" t="s">
        <v>204</v>
      </c>
      <c r="C50" s="13" t="s">
        <v>205</v>
      </c>
      <c r="D50" s="12"/>
      <c r="E50" s="12" t="s">
        <v>206</v>
      </c>
      <c r="F50" s="12" t="s">
        <v>105</v>
      </c>
      <c r="G50" s="16" t="s">
        <v>79</v>
      </c>
      <c r="H50" s="17">
        <v>4</v>
      </c>
      <c r="I50" s="17">
        <v>152</v>
      </c>
      <c r="J50" s="17">
        <v>156</v>
      </c>
      <c r="K50" s="10">
        <v>17</v>
      </c>
      <c r="L50" s="14">
        <f t="shared" si="7"/>
        <v>0.10897435897435898</v>
      </c>
      <c r="N50" s="17">
        <v>14</v>
      </c>
      <c r="P50" s="17">
        <v>2</v>
      </c>
      <c r="T50" s="17">
        <v>45</v>
      </c>
      <c r="U50" s="15">
        <f>SUMIF('[1]CBA Breakdown'!A:A,A50,'[1]CBA Breakdown'!B:B)</f>
        <v>200000</v>
      </c>
    </row>
    <row r="51" spans="1:23" x14ac:dyDescent="0.3">
      <c r="A51" s="11" t="s">
        <v>207</v>
      </c>
      <c r="B51" s="12" t="s">
        <v>208</v>
      </c>
      <c r="C51" s="13" t="s">
        <v>209</v>
      </c>
      <c r="D51" s="12"/>
      <c r="E51" s="12" t="s">
        <v>79</v>
      </c>
      <c r="F51" s="12" t="s">
        <v>27</v>
      </c>
      <c r="G51" s="16" t="s">
        <v>210</v>
      </c>
      <c r="H51" s="17">
        <v>0.78</v>
      </c>
      <c r="J51" s="17">
        <v>22</v>
      </c>
      <c r="K51" s="10">
        <v>3</v>
      </c>
      <c r="L51" s="14">
        <f t="shared" si="7"/>
        <v>0.13636363636363635</v>
      </c>
      <c r="N51" s="17">
        <v>2</v>
      </c>
      <c r="P51" s="17">
        <v>1</v>
      </c>
      <c r="T51" s="17">
        <v>30</v>
      </c>
      <c r="U51" s="15">
        <f>SUMIF('[1]CBA Breakdown'!A:A,A51,'[1]CBA Breakdown'!B:B)</f>
        <v>37500</v>
      </c>
      <c r="V51" s="17" t="s">
        <v>41</v>
      </c>
      <c r="W51" s="17"/>
    </row>
    <row r="52" spans="1:23" x14ac:dyDescent="0.3">
      <c r="A52" s="11" t="s">
        <v>211</v>
      </c>
      <c r="B52" s="12" t="s">
        <v>212</v>
      </c>
      <c r="C52" s="13" t="s">
        <v>213</v>
      </c>
      <c r="D52" s="12" t="s">
        <v>401</v>
      </c>
      <c r="E52" s="12" t="s">
        <v>110</v>
      </c>
      <c r="F52" s="12" t="s">
        <v>27</v>
      </c>
      <c r="G52" s="17" t="s">
        <v>97</v>
      </c>
      <c r="H52" s="17">
        <v>8</v>
      </c>
      <c r="I52" s="17">
        <v>281</v>
      </c>
      <c r="J52" s="17">
        <v>344</v>
      </c>
      <c r="K52" s="10">
        <v>27</v>
      </c>
      <c r="L52" s="14">
        <f t="shared" si="7"/>
        <v>7.8488372093023256E-2</v>
      </c>
      <c r="N52" s="17">
        <v>13</v>
      </c>
      <c r="P52" s="17">
        <v>13</v>
      </c>
      <c r="T52" s="17">
        <v>143</v>
      </c>
      <c r="U52" s="15">
        <f>SUMIF('[1]CBA Breakdown'!A:A,A52,'[1]CBA Breakdown'!B:B)</f>
        <v>610000</v>
      </c>
      <c r="W52" s="17"/>
    </row>
    <row r="53" spans="1:23" x14ac:dyDescent="0.3">
      <c r="A53" s="11" t="s">
        <v>214</v>
      </c>
      <c r="B53" s="12" t="s">
        <v>215</v>
      </c>
      <c r="C53" s="13" t="s">
        <v>216</v>
      </c>
      <c r="D53" s="12"/>
      <c r="E53" s="12" t="s">
        <v>96</v>
      </c>
      <c r="F53" s="12" t="s">
        <v>105</v>
      </c>
      <c r="G53" s="16" t="s">
        <v>79</v>
      </c>
      <c r="H53" s="17">
        <v>6</v>
      </c>
      <c r="I53" s="17">
        <v>299</v>
      </c>
      <c r="J53" s="17">
        <v>219</v>
      </c>
      <c r="K53" s="10">
        <v>27</v>
      </c>
      <c r="L53" s="14"/>
      <c r="O53" s="17">
        <v>4</v>
      </c>
      <c r="P53" s="17">
        <v>23</v>
      </c>
      <c r="U53" s="15">
        <f>SUMIF('[1]CBA Breakdown'!A:A,A53,'[1]CBA Breakdown'!B:B)</f>
        <v>0</v>
      </c>
    </row>
    <row r="54" spans="1:23" x14ac:dyDescent="0.3">
      <c r="A54" s="11" t="s">
        <v>217</v>
      </c>
      <c r="B54" s="12" t="s">
        <v>218</v>
      </c>
      <c r="C54" s="13" t="s">
        <v>219</v>
      </c>
      <c r="D54" s="12" t="s">
        <v>402</v>
      </c>
      <c r="E54" s="12" t="s">
        <v>110</v>
      </c>
      <c r="F54" s="12" t="s">
        <v>71</v>
      </c>
      <c r="G54" s="17" t="s">
        <v>97</v>
      </c>
      <c r="H54" s="17">
        <v>6.21</v>
      </c>
      <c r="I54">
        <f>416*0.9</f>
        <v>374.40000000000003</v>
      </c>
      <c r="J54">
        <f>416*1.1</f>
        <v>457.6</v>
      </c>
      <c r="K54" s="10">
        <v>35</v>
      </c>
      <c r="L54" s="14">
        <v>0.08</v>
      </c>
      <c r="N54" s="17">
        <v>7</v>
      </c>
      <c r="P54" s="17">
        <v>28</v>
      </c>
      <c r="T54" s="17">
        <v>187</v>
      </c>
      <c r="U54" s="15">
        <f>SUMIF('[1]CBA Breakdown'!A:A,A54,'[1]CBA Breakdown'!B:B)</f>
        <v>295000</v>
      </c>
      <c r="V54" s="17" t="s">
        <v>41</v>
      </c>
      <c r="W54" s="17"/>
    </row>
    <row r="55" spans="1:23" x14ac:dyDescent="0.3">
      <c r="A55" s="11" t="s">
        <v>220</v>
      </c>
      <c r="B55" s="12" t="s">
        <v>221</v>
      </c>
      <c r="C55" s="13" t="s">
        <v>222</v>
      </c>
      <c r="D55" s="13" t="s">
        <v>223</v>
      </c>
      <c r="E55" s="12" t="s">
        <v>224</v>
      </c>
      <c r="F55" s="12" t="s">
        <v>27</v>
      </c>
      <c r="G55" s="17" t="s">
        <v>225</v>
      </c>
      <c r="H55" s="17">
        <v>2.8</v>
      </c>
      <c r="J55" s="17">
        <v>331</v>
      </c>
      <c r="K55" s="10">
        <v>265</v>
      </c>
      <c r="L55" s="14">
        <f>K55/J55</f>
        <v>0.80060422960725075</v>
      </c>
      <c r="U55" s="15">
        <f>SUMIF('[1]CBA Breakdown'!A:A,A55,'[1]CBA Breakdown'!B:B)</f>
        <v>0</v>
      </c>
    </row>
    <row r="56" spans="1:23" x14ac:dyDescent="0.3">
      <c r="A56" s="11" t="s">
        <v>226</v>
      </c>
      <c r="B56" s="12" t="s">
        <v>227</v>
      </c>
      <c r="C56" s="13" t="s">
        <v>228</v>
      </c>
      <c r="D56" s="12" t="s">
        <v>403</v>
      </c>
      <c r="E56" s="12" t="s">
        <v>229</v>
      </c>
      <c r="F56" s="12" t="s">
        <v>71</v>
      </c>
      <c r="G56" s="17" t="s">
        <v>230</v>
      </c>
      <c r="H56" s="17">
        <v>4.8899999999999997</v>
      </c>
      <c r="I56" s="17">
        <v>25</v>
      </c>
      <c r="J56" s="17">
        <v>31</v>
      </c>
      <c r="K56" s="10">
        <v>3</v>
      </c>
      <c r="L56" s="14">
        <v>0.08</v>
      </c>
      <c r="N56" s="17">
        <v>3</v>
      </c>
      <c r="T56" s="17">
        <v>5</v>
      </c>
      <c r="U56" s="15">
        <f>SUMIF('[1]CBA Breakdown'!A:A,A56,'[1]CBA Breakdown'!B:B)</f>
        <v>105000</v>
      </c>
      <c r="V56" s="17" t="s">
        <v>41</v>
      </c>
      <c r="W56" s="17"/>
    </row>
    <row r="57" spans="1:23" x14ac:dyDescent="0.3">
      <c r="A57" s="11" t="s">
        <v>231</v>
      </c>
      <c r="B57" s="12" t="s">
        <v>232</v>
      </c>
      <c r="C57" s="13" t="s">
        <v>233</v>
      </c>
      <c r="D57" s="12" t="s">
        <v>404</v>
      </c>
      <c r="E57" s="12" t="s">
        <v>110</v>
      </c>
      <c r="F57" s="12" t="s">
        <v>27</v>
      </c>
      <c r="G57" s="17" t="s">
        <v>97</v>
      </c>
      <c r="H57" s="17">
        <v>8</v>
      </c>
      <c r="I57" s="17">
        <v>110</v>
      </c>
      <c r="J57" s="17">
        <v>115</v>
      </c>
      <c r="K57" s="21" t="e">
        <v>#N/A</v>
      </c>
      <c r="L57" s="14"/>
      <c r="T57" s="17">
        <v>475</v>
      </c>
      <c r="U57" s="15">
        <f>SUMIF('[1]CBA Breakdown'!A:A,A57,'[1]CBA Breakdown'!B:B)</f>
        <v>29000</v>
      </c>
    </row>
    <row r="58" spans="1:23" x14ac:dyDescent="0.3">
      <c r="A58" s="11" t="s">
        <v>234</v>
      </c>
      <c r="B58" s="12" t="s">
        <v>235</v>
      </c>
      <c r="C58" s="13" t="s">
        <v>236</v>
      </c>
      <c r="D58" s="12"/>
      <c r="E58" s="12" t="s">
        <v>237</v>
      </c>
      <c r="F58" s="12" t="s">
        <v>128</v>
      </c>
      <c r="G58" s="17" t="s">
        <v>238</v>
      </c>
      <c r="H58" s="17">
        <v>8.23</v>
      </c>
      <c r="J58" s="17">
        <v>221</v>
      </c>
      <c r="K58" s="10">
        <v>4</v>
      </c>
      <c r="L58" s="14">
        <f t="shared" ref="L58:L59" si="8">K58/J58</f>
        <v>1.8099547511312219E-2</v>
      </c>
      <c r="M58" s="17">
        <v>4</v>
      </c>
      <c r="T58" s="17">
        <v>255</v>
      </c>
      <c r="U58" s="15">
        <f>SUMIF('[1]CBA Breakdown'!A:A,A58,'[1]CBA Breakdown'!B:B)</f>
        <v>45000</v>
      </c>
    </row>
    <row r="59" spans="1:23" x14ac:dyDescent="0.3">
      <c r="A59" s="11" t="s">
        <v>239</v>
      </c>
      <c r="B59" s="12" t="s">
        <v>240</v>
      </c>
      <c r="C59" s="13" t="s">
        <v>241</v>
      </c>
      <c r="D59" s="12"/>
      <c r="E59" s="12" t="s">
        <v>242</v>
      </c>
      <c r="F59" s="12" t="s">
        <v>105</v>
      </c>
      <c r="G59" s="16" t="s">
        <v>79</v>
      </c>
      <c r="H59" s="17">
        <v>8.4</v>
      </c>
      <c r="J59" s="17">
        <v>366</v>
      </c>
      <c r="K59" s="10">
        <v>96</v>
      </c>
      <c r="L59" s="14">
        <f t="shared" si="8"/>
        <v>0.26229508196721313</v>
      </c>
      <c r="O59" s="17">
        <v>96</v>
      </c>
      <c r="U59" s="15">
        <f>SUMIF('[1]CBA Breakdown'!A:A,A59,'[1]CBA Breakdown'!B:B)</f>
        <v>0</v>
      </c>
    </row>
    <row r="60" spans="1:23" x14ac:dyDescent="0.3">
      <c r="A60" s="11" t="s">
        <v>243</v>
      </c>
      <c r="B60" s="12" t="s">
        <v>244</v>
      </c>
      <c r="C60" s="13" t="s">
        <v>245</v>
      </c>
      <c r="D60" s="13" t="s">
        <v>246</v>
      </c>
      <c r="E60" s="12" t="s">
        <v>110</v>
      </c>
      <c r="F60" s="12" t="s">
        <v>27</v>
      </c>
      <c r="G60" s="17" t="s">
        <v>97</v>
      </c>
      <c r="H60" s="26" t="e">
        <f>#REF!/#REF!</f>
        <v>#REF!</v>
      </c>
      <c r="I60" s="17">
        <v>132</v>
      </c>
      <c r="J60" s="17">
        <v>138</v>
      </c>
      <c r="K60" s="22" t="e">
        <f t="shared" ref="K60:K61" si="9">J60*L60</f>
        <v>#REF!</v>
      </c>
      <c r="L60" s="14" t="e">
        <f>11300/#REF!</f>
        <v>#REF!</v>
      </c>
      <c r="N60" s="17">
        <v>4</v>
      </c>
      <c r="P60" s="17">
        <v>7</v>
      </c>
      <c r="T60" s="17">
        <v>135</v>
      </c>
      <c r="U60" s="15">
        <f>SUMIF('[1]CBA Breakdown'!A:A,A60,'[1]CBA Breakdown'!B:B)</f>
        <v>0</v>
      </c>
    </row>
    <row r="61" spans="1:23" x14ac:dyDescent="0.3">
      <c r="A61" s="11" t="s">
        <v>243</v>
      </c>
      <c r="B61" s="12" t="s">
        <v>247</v>
      </c>
      <c r="C61" s="13" t="s">
        <v>245</v>
      </c>
      <c r="D61" s="13" t="s">
        <v>248</v>
      </c>
      <c r="E61" s="12" t="s">
        <v>110</v>
      </c>
      <c r="F61" s="12" t="s">
        <v>27</v>
      </c>
      <c r="G61" s="17" t="s">
        <v>97</v>
      </c>
      <c r="H61" s="17">
        <v>5.68</v>
      </c>
      <c r="J61" s="17">
        <v>430</v>
      </c>
      <c r="K61" s="22">
        <f t="shared" si="9"/>
        <v>34.4</v>
      </c>
      <c r="L61" s="14">
        <v>0.08</v>
      </c>
      <c r="N61" s="17">
        <v>8</v>
      </c>
      <c r="P61" s="17">
        <v>26</v>
      </c>
      <c r="T61" s="17">
        <v>405</v>
      </c>
      <c r="U61" s="15">
        <f>SUMIF('[1]CBA Breakdown'!A:A,A61,'[1]CBA Breakdown'!B:B)</f>
        <v>0</v>
      </c>
    </row>
    <row r="62" spans="1:23" x14ac:dyDescent="0.3">
      <c r="A62" s="11" t="s">
        <v>249</v>
      </c>
      <c r="B62" s="12" t="s">
        <v>250</v>
      </c>
      <c r="C62" s="13" t="s">
        <v>251</v>
      </c>
      <c r="D62" s="13" t="s">
        <v>252</v>
      </c>
      <c r="E62" s="12" t="s">
        <v>125</v>
      </c>
      <c r="F62" s="12" t="s">
        <v>128</v>
      </c>
      <c r="G62" s="17" t="s">
        <v>110</v>
      </c>
      <c r="H62" s="17">
        <v>10.49</v>
      </c>
      <c r="I62" s="17">
        <v>0</v>
      </c>
      <c r="J62" s="17">
        <v>0</v>
      </c>
      <c r="K62" s="21">
        <v>0</v>
      </c>
      <c r="L62" s="14">
        <v>0</v>
      </c>
      <c r="T62" s="17">
        <v>48</v>
      </c>
      <c r="U62" s="15">
        <f>SUMIF('[1]CBA Breakdown'!A:A,A62,'[1]CBA Breakdown'!B:B)</f>
        <v>0</v>
      </c>
    </row>
    <row r="63" spans="1:23" x14ac:dyDescent="0.3">
      <c r="A63" s="11" t="s">
        <v>253</v>
      </c>
      <c r="B63" s="12" t="s">
        <v>254</v>
      </c>
      <c r="C63" s="13" t="s">
        <v>255</v>
      </c>
      <c r="D63" s="13" t="s">
        <v>256</v>
      </c>
      <c r="E63" s="12" t="s">
        <v>110</v>
      </c>
      <c r="F63" s="12" t="s">
        <v>27</v>
      </c>
      <c r="G63" s="17" t="s">
        <v>257</v>
      </c>
      <c r="H63" s="17">
        <v>4.7</v>
      </c>
      <c r="I63" s="24">
        <f>338*0.9</f>
        <v>304.2</v>
      </c>
      <c r="J63" s="24">
        <f>338*1.1</f>
        <v>371.8</v>
      </c>
      <c r="K63" s="21">
        <v>37</v>
      </c>
      <c r="L63" s="14">
        <v>0.08</v>
      </c>
      <c r="M63" s="14"/>
      <c r="N63" s="17">
        <v>10</v>
      </c>
      <c r="O63" s="17">
        <v>10</v>
      </c>
      <c r="P63" s="17">
        <v>17</v>
      </c>
      <c r="T63" s="17">
        <v>1067</v>
      </c>
      <c r="U63" s="15">
        <f>SUMIF('[1]CBA Breakdown'!A:A,A63,'[1]CBA Breakdown'!B:B)</f>
        <v>0</v>
      </c>
    </row>
    <row r="64" spans="1:23" x14ac:dyDescent="0.3">
      <c r="A64" s="11" t="s">
        <v>258</v>
      </c>
      <c r="B64" s="12" t="s">
        <v>259</v>
      </c>
      <c r="C64" s="13" t="s">
        <v>260</v>
      </c>
      <c r="D64" s="27" t="s">
        <v>405</v>
      </c>
      <c r="E64" s="12" t="s">
        <v>96</v>
      </c>
      <c r="F64" s="12" t="s">
        <v>35</v>
      </c>
      <c r="G64" s="17" t="s">
        <v>261</v>
      </c>
      <c r="H64" s="17">
        <v>3.56</v>
      </c>
      <c r="I64" s="17">
        <v>85</v>
      </c>
      <c r="J64" s="17">
        <v>85</v>
      </c>
      <c r="K64" s="21">
        <v>85</v>
      </c>
      <c r="L64" s="14">
        <v>1</v>
      </c>
      <c r="N64" s="14"/>
      <c r="O64" s="17">
        <v>85</v>
      </c>
      <c r="T64" s="17">
        <v>25</v>
      </c>
      <c r="U64" s="15">
        <f>SUMIF('[1]CBA Breakdown'!A:A,A64,'[1]CBA Breakdown'!B:B)</f>
        <v>0</v>
      </c>
      <c r="W64" s="17" t="s">
        <v>262</v>
      </c>
    </row>
    <row r="65" spans="1:23" x14ac:dyDescent="0.3">
      <c r="A65" s="11" t="s">
        <v>263</v>
      </c>
      <c r="B65" s="12" t="s">
        <v>264</v>
      </c>
      <c r="C65" s="13" t="s">
        <v>265</v>
      </c>
      <c r="D65" s="12"/>
      <c r="E65" s="12" t="s">
        <v>79</v>
      </c>
      <c r="F65" s="12" t="s">
        <v>35</v>
      </c>
      <c r="G65" s="17" t="s">
        <v>266</v>
      </c>
      <c r="H65" s="17">
        <v>1.1599999999999999</v>
      </c>
      <c r="I65">
        <f>190+74</f>
        <v>264</v>
      </c>
      <c r="J65">
        <f>205+74</f>
        <v>279</v>
      </c>
      <c r="K65" s="22">
        <f>SUM(N65:P65)</f>
        <v>197.39999999999998</v>
      </c>
      <c r="L65" s="14">
        <f>K65/I65</f>
        <v>0.74772727272727268</v>
      </c>
      <c r="N65">
        <f>(0.05*190)+(0.05*74)</f>
        <v>13.2</v>
      </c>
      <c r="O65">
        <f>0.9*190</f>
        <v>171</v>
      </c>
      <c r="P65">
        <f>(0.05*190)+(0.05*74)</f>
        <v>13.2</v>
      </c>
      <c r="T65" s="17">
        <v>202</v>
      </c>
      <c r="U65" s="15">
        <f>SUMIF('[1]CBA Breakdown'!A:A,A65,'[1]CBA Breakdown'!B:B)</f>
        <v>0</v>
      </c>
      <c r="W65" s="17" t="s">
        <v>267</v>
      </c>
    </row>
    <row r="66" spans="1:23" x14ac:dyDescent="0.3">
      <c r="A66" s="11" t="s">
        <v>268</v>
      </c>
      <c r="B66" s="12" t="s">
        <v>269</v>
      </c>
      <c r="C66" s="13" t="s">
        <v>270</v>
      </c>
      <c r="D66" s="27" t="s">
        <v>406</v>
      </c>
      <c r="E66" s="12" t="s">
        <v>271</v>
      </c>
      <c r="F66" s="12" t="s">
        <v>27</v>
      </c>
      <c r="G66" s="17" t="s">
        <v>272</v>
      </c>
      <c r="H66" s="17">
        <v>1.92</v>
      </c>
      <c r="I66" s="17">
        <v>677</v>
      </c>
      <c r="J66" s="17">
        <v>677</v>
      </c>
      <c r="K66" s="10">
        <f>SUM(M66:R66)</f>
        <v>132</v>
      </c>
      <c r="L66" s="14">
        <f>K66/J66</f>
        <v>0.19497784342688332</v>
      </c>
      <c r="N66" s="17">
        <v>9</v>
      </c>
      <c r="O66" s="17">
        <v>85</v>
      </c>
      <c r="P66" s="17">
        <f>13+25</f>
        <v>38</v>
      </c>
      <c r="T66">
        <f>1900+329+21</f>
        <v>2250</v>
      </c>
      <c r="U66" s="15">
        <f>SUMIF('[1]CBA Breakdown'!A:A,A66,'[1]CBA Breakdown'!B:B)</f>
        <v>3250000</v>
      </c>
      <c r="W66" s="17"/>
    </row>
    <row r="67" spans="1:23" x14ac:dyDescent="0.3">
      <c r="A67" s="11" t="s">
        <v>273</v>
      </c>
      <c r="B67" s="12" t="s">
        <v>274</v>
      </c>
      <c r="C67" s="13" t="s">
        <v>275</v>
      </c>
      <c r="D67" s="13" t="s">
        <v>276</v>
      </c>
      <c r="E67" s="12" t="s">
        <v>110</v>
      </c>
      <c r="F67" s="12" t="s">
        <v>71</v>
      </c>
      <c r="G67" s="17" t="s">
        <v>175</v>
      </c>
      <c r="H67" s="17">
        <v>4.1399999999999997</v>
      </c>
      <c r="I67" s="24">
        <f>673*0.9</f>
        <v>605.70000000000005</v>
      </c>
      <c r="J67" s="24">
        <f>673*1.1</f>
        <v>740.30000000000007</v>
      </c>
      <c r="K67" s="25">
        <f>673*L67</f>
        <v>53.84</v>
      </c>
      <c r="L67" s="14">
        <v>0.08</v>
      </c>
      <c r="O67" s="17">
        <v>4</v>
      </c>
      <c r="P67" s="24">
        <f>K67-O67</f>
        <v>49.84</v>
      </c>
      <c r="T67" s="17">
        <v>221</v>
      </c>
      <c r="U67" s="15">
        <f>SUMIF('[1]CBA Breakdown'!A:A,A67,'[1]CBA Breakdown'!B:B)</f>
        <v>0</v>
      </c>
      <c r="W67" s="17"/>
    </row>
    <row r="68" spans="1:23" x14ac:dyDescent="0.3">
      <c r="A68" s="11" t="s">
        <v>277</v>
      </c>
      <c r="B68" s="12" t="s">
        <v>278</v>
      </c>
      <c r="C68" s="13" t="s">
        <v>279</v>
      </c>
      <c r="D68" s="13" t="s">
        <v>280</v>
      </c>
      <c r="E68" s="12" t="s">
        <v>96</v>
      </c>
      <c r="F68" s="12" t="s">
        <v>105</v>
      </c>
      <c r="G68" s="17" t="s">
        <v>281</v>
      </c>
      <c r="H68" s="17">
        <v>5.95</v>
      </c>
      <c r="I68" s="24">
        <f>105*0.9</f>
        <v>94.5</v>
      </c>
      <c r="J68" s="24">
        <f>105*1.1</f>
        <v>115.50000000000001</v>
      </c>
      <c r="K68" s="25">
        <v>9</v>
      </c>
      <c r="L68" s="14">
        <v>0.08</v>
      </c>
      <c r="N68" s="17">
        <v>3</v>
      </c>
      <c r="P68" s="17">
        <v>6</v>
      </c>
      <c r="T68" s="17">
        <v>36</v>
      </c>
      <c r="U68" s="15">
        <f>SUMIF('[1]CBA Breakdown'!A:A,A68,'[1]CBA Breakdown'!B:B)</f>
        <v>0</v>
      </c>
    </row>
    <row r="69" spans="1:23" x14ac:dyDescent="0.3">
      <c r="A69" s="11" t="s">
        <v>282</v>
      </c>
      <c r="B69" s="12" t="s">
        <v>283</v>
      </c>
      <c r="C69" s="13" t="s">
        <v>284</v>
      </c>
      <c r="D69" s="27" t="s">
        <v>407</v>
      </c>
      <c r="E69" s="12" t="s">
        <v>285</v>
      </c>
      <c r="F69" s="12" t="s">
        <v>35</v>
      </c>
      <c r="G69" s="17" t="s">
        <v>87</v>
      </c>
      <c r="H69" s="17">
        <v>1.29</v>
      </c>
      <c r="I69" s="17">
        <v>162</v>
      </c>
      <c r="J69" s="17">
        <f>120+42</f>
        <v>162</v>
      </c>
      <c r="K69" s="25">
        <f>J69*0.1</f>
        <v>16.2</v>
      </c>
      <c r="L69" s="14">
        <v>0.1</v>
      </c>
      <c r="M69" s="17">
        <f>4+4+4</f>
        <v>12</v>
      </c>
      <c r="N69" s="17">
        <f>4+4+4+2</f>
        <v>14</v>
      </c>
      <c r="O69" s="17">
        <f>30+30+36</f>
        <v>96</v>
      </c>
      <c r="P69" s="17">
        <f>2+2</f>
        <v>4</v>
      </c>
      <c r="T69" s="17">
        <f>24+28+37+42</f>
        <v>131</v>
      </c>
      <c r="U69" s="15">
        <f>SUMIF('[1]CBA Breakdown'!A:A,A69,'[1]CBA Breakdown'!B:B)</f>
        <v>0</v>
      </c>
      <c r="W69" s="17"/>
    </row>
    <row r="70" spans="1:23" x14ac:dyDescent="0.3">
      <c r="A70" s="11" t="s">
        <v>286</v>
      </c>
      <c r="B70" s="12" t="s">
        <v>287</v>
      </c>
      <c r="C70" s="13" t="s">
        <v>288</v>
      </c>
      <c r="D70" t="s">
        <v>408</v>
      </c>
      <c r="E70" s="12" t="s">
        <v>289</v>
      </c>
      <c r="F70" s="12" t="s">
        <v>35</v>
      </c>
      <c r="G70" s="17" t="s">
        <v>266</v>
      </c>
      <c r="H70" s="17">
        <v>5.0599999999999996</v>
      </c>
      <c r="I70" s="17">
        <v>205</v>
      </c>
      <c r="J70" s="17">
        <v>215</v>
      </c>
      <c r="K70" s="25" t="e">
        <f>210*L70</f>
        <v>#REF!</v>
      </c>
      <c r="L70" s="14" t="e">
        <f>15655/#REF!</f>
        <v>#REF!</v>
      </c>
      <c r="N70" s="17">
        <v>5</v>
      </c>
      <c r="P70" s="17">
        <v>12</v>
      </c>
      <c r="T70" s="17">
        <v>218</v>
      </c>
      <c r="U70" s="15">
        <f>SUMIF('[1]CBA Breakdown'!A:A,A70,'[1]CBA Breakdown'!B:B)</f>
        <v>850000</v>
      </c>
      <c r="V70" s="17" t="s">
        <v>41</v>
      </c>
      <c r="W70" s="17"/>
    </row>
    <row r="71" spans="1:23" x14ac:dyDescent="0.3">
      <c r="A71" s="11" t="s">
        <v>290</v>
      </c>
      <c r="B71" s="12" t="s">
        <v>291</v>
      </c>
      <c r="C71" s="13" t="s">
        <v>292</v>
      </c>
      <c r="D71" s="27" t="s">
        <v>409</v>
      </c>
      <c r="E71" s="12" t="s">
        <v>293</v>
      </c>
      <c r="F71" s="12" t="s">
        <v>71</v>
      </c>
      <c r="G71" s="17" t="s">
        <v>180</v>
      </c>
      <c r="H71" s="17">
        <v>5.73</v>
      </c>
      <c r="J71" s="17">
        <v>600</v>
      </c>
      <c r="K71" s="21">
        <v>48</v>
      </c>
      <c r="L71" s="14">
        <f>K71/J71</f>
        <v>0.08</v>
      </c>
      <c r="P71" s="17">
        <v>48</v>
      </c>
      <c r="T71">
        <f>600/2+331</f>
        <v>631</v>
      </c>
      <c r="U71" s="15">
        <f>SUMIF('[1]CBA Breakdown'!A:A,A71,'[1]CBA Breakdown'!B:B)</f>
        <v>0</v>
      </c>
    </row>
    <row r="72" spans="1:23" x14ac:dyDescent="0.3">
      <c r="A72" s="11" t="s">
        <v>294</v>
      </c>
      <c r="B72" s="12" t="s">
        <v>295</v>
      </c>
      <c r="C72" s="13" t="s">
        <v>296</v>
      </c>
      <c r="D72" s="12"/>
      <c r="E72" s="12" t="s">
        <v>110</v>
      </c>
      <c r="F72" s="12" t="s">
        <v>128</v>
      </c>
      <c r="G72" s="17" t="s">
        <v>297</v>
      </c>
      <c r="H72" s="17">
        <v>8.07</v>
      </c>
      <c r="K72" s="21" t="e">
        <v>#N/A</v>
      </c>
      <c r="L72" s="14">
        <v>0</v>
      </c>
      <c r="T72" s="17">
        <v>93</v>
      </c>
      <c r="U72" s="15">
        <f>SUMIF('[1]CBA Breakdown'!A:A,A72,'[1]CBA Breakdown'!B:B)</f>
        <v>629587.24</v>
      </c>
      <c r="W72" s="17"/>
    </row>
    <row r="73" spans="1:23" x14ac:dyDescent="0.3">
      <c r="A73" s="11" t="s">
        <v>298</v>
      </c>
      <c r="B73" s="12" t="s">
        <v>299</v>
      </c>
      <c r="C73" s="13" t="s">
        <v>300</v>
      </c>
      <c r="D73" s="13" t="s">
        <v>301</v>
      </c>
      <c r="E73" s="12" t="s">
        <v>266</v>
      </c>
      <c r="F73" s="12" t="s">
        <v>35</v>
      </c>
      <c r="G73" s="17" t="s">
        <v>91</v>
      </c>
      <c r="H73" s="17">
        <v>1.05</v>
      </c>
      <c r="J73" s="17">
        <v>30</v>
      </c>
      <c r="K73" s="21">
        <v>30</v>
      </c>
      <c r="L73" s="14">
        <f t="shared" ref="L73:L74" si="10">K73/J73</f>
        <v>1</v>
      </c>
      <c r="O73" s="17">
        <v>30</v>
      </c>
      <c r="T73" s="17">
        <v>23</v>
      </c>
      <c r="U73" s="15">
        <f>SUMIF('[1]CBA Breakdown'!A:A,A73,'[1]CBA Breakdown'!B:B)</f>
        <v>0</v>
      </c>
      <c r="W73" s="17" t="s">
        <v>302</v>
      </c>
    </row>
    <row r="74" spans="1:23" x14ac:dyDescent="0.3">
      <c r="A74" s="11" t="s">
        <v>303</v>
      </c>
      <c r="B74" s="12" t="s">
        <v>304</v>
      </c>
      <c r="C74" s="13" t="s">
        <v>305</v>
      </c>
      <c r="D74" s="13" t="s">
        <v>306</v>
      </c>
      <c r="E74" s="12" t="s">
        <v>307</v>
      </c>
      <c r="F74" s="12" t="s">
        <v>105</v>
      </c>
      <c r="G74" s="17" t="s">
        <v>308</v>
      </c>
      <c r="H74" s="17">
        <v>6.85</v>
      </c>
      <c r="I74" s="17">
        <v>134</v>
      </c>
      <c r="J74" s="17">
        <v>138</v>
      </c>
      <c r="K74" s="21">
        <v>12</v>
      </c>
      <c r="L74" s="14">
        <f t="shared" si="10"/>
        <v>8.6956521739130432E-2</v>
      </c>
      <c r="P74" s="17">
        <v>12</v>
      </c>
      <c r="T74" s="17">
        <v>48</v>
      </c>
      <c r="U74" s="15">
        <f>SUMIF('[1]CBA Breakdown'!A:A,A74,'[1]CBA Breakdown'!B:B)</f>
        <v>600000</v>
      </c>
      <c r="V74" s="17" t="s">
        <v>41</v>
      </c>
      <c r="W74" s="17" t="s">
        <v>309</v>
      </c>
    </row>
    <row r="75" spans="1:23" x14ac:dyDescent="0.3">
      <c r="A75" s="11" t="s">
        <v>310</v>
      </c>
      <c r="B75" s="12" t="s">
        <v>311</v>
      </c>
      <c r="C75" s="13" t="s">
        <v>312</v>
      </c>
      <c r="D75" s="13" t="s">
        <v>313</v>
      </c>
      <c r="E75" s="12" t="s">
        <v>314</v>
      </c>
      <c r="F75" s="12" t="s">
        <v>71</v>
      </c>
      <c r="G75" s="17" t="s">
        <v>315</v>
      </c>
      <c r="H75" s="17">
        <v>4.8499999999999996</v>
      </c>
      <c r="J75" s="17">
        <v>450</v>
      </c>
      <c r="K75" s="21">
        <f>L75*J75</f>
        <v>36</v>
      </c>
      <c r="L75" s="14">
        <v>0.08</v>
      </c>
      <c r="P75" s="17">
        <v>36</v>
      </c>
      <c r="T75" s="17">
        <v>442</v>
      </c>
      <c r="U75" s="15">
        <f>SUMIF('[1]CBA Breakdown'!A:A,A75,'[1]CBA Breakdown'!B:B)</f>
        <v>195000</v>
      </c>
      <c r="V75" s="17" t="s">
        <v>41</v>
      </c>
    </row>
    <row r="76" spans="1:23" x14ac:dyDescent="0.3">
      <c r="A76" s="20" t="s">
        <v>316</v>
      </c>
      <c r="B76" s="12" t="s">
        <v>317</v>
      </c>
      <c r="C76" s="13" t="s">
        <v>318</v>
      </c>
      <c r="D76" s="12"/>
      <c r="E76" s="12" t="s">
        <v>118</v>
      </c>
      <c r="F76" s="12" t="s">
        <v>45</v>
      </c>
      <c r="G76" s="17" t="s">
        <v>319</v>
      </c>
      <c r="H76" s="17">
        <v>1</v>
      </c>
      <c r="I76" s="24">
        <f>288*0.9</f>
        <v>259.2</v>
      </c>
      <c r="J76" s="24">
        <f>288*1.1</f>
        <v>316.8</v>
      </c>
      <c r="K76" s="10">
        <v>312</v>
      </c>
      <c r="L76" s="14">
        <v>1</v>
      </c>
      <c r="O76" s="17">
        <v>288</v>
      </c>
      <c r="T76" s="17">
        <v>805</v>
      </c>
      <c r="U76" s="15">
        <f>SUMIF('[1]CBA Breakdown'!A:A,A76,'[1]CBA Breakdown'!B:B)</f>
        <v>0</v>
      </c>
      <c r="W76" s="17"/>
    </row>
    <row r="77" spans="1:23" x14ac:dyDescent="0.3">
      <c r="A77" s="20" t="s">
        <v>320</v>
      </c>
      <c r="B77" s="12" t="s">
        <v>321</v>
      </c>
      <c r="C77" s="13" t="s">
        <v>322</v>
      </c>
      <c r="D77" s="27" t="s">
        <v>410</v>
      </c>
      <c r="E77" s="12" t="s">
        <v>323</v>
      </c>
      <c r="F77" s="12" t="s">
        <v>71</v>
      </c>
      <c r="G77" s="17" t="s">
        <v>323</v>
      </c>
      <c r="H77" s="17">
        <v>4.0999999999999996</v>
      </c>
      <c r="J77" s="17">
        <v>359</v>
      </c>
      <c r="K77" s="25">
        <v>28</v>
      </c>
      <c r="L77" s="14">
        <v>0.08</v>
      </c>
      <c r="P77" s="17">
        <v>28</v>
      </c>
      <c r="Q77" s="17"/>
      <c r="T77">
        <f>111+174</f>
        <v>285</v>
      </c>
      <c r="U77" s="15">
        <f>SUMIF('[1]CBA Breakdown'!A:A,A77,'[1]CBA Breakdown'!B:B)</f>
        <v>200000</v>
      </c>
      <c r="V77" s="17" t="s">
        <v>41</v>
      </c>
    </row>
    <row r="78" spans="1:23" x14ac:dyDescent="0.3">
      <c r="A78" s="20" t="s">
        <v>324</v>
      </c>
      <c r="B78" s="12" t="s">
        <v>325</v>
      </c>
      <c r="C78" s="13" t="s">
        <v>326</v>
      </c>
      <c r="D78" s="12" t="s">
        <v>411</v>
      </c>
      <c r="E78" s="12" t="s">
        <v>289</v>
      </c>
      <c r="F78" s="12" t="s">
        <v>27</v>
      </c>
      <c r="G78" s="17" t="s">
        <v>327</v>
      </c>
      <c r="H78" s="17">
        <v>4.83</v>
      </c>
      <c r="I78" s="17">
        <v>163</v>
      </c>
      <c r="J78" s="17">
        <v>200</v>
      </c>
      <c r="K78" s="10">
        <v>16</v>
      </c>
      <c r="L78" s="14">
        <f>K78/J78</f>
        <v>0.08</v>
      </c>
      <c r="P78" s="17">
        <v>16</v>
      </c>
      <c r="Q78" s="17"/>
      <c r="T78" s="17">
        <v>210</v>
      </c>
      <c r="U78" s="15">
        <f>SUMIF('[1]CBA Breakdown'!A:A,A78,'[1]CBA Breakdown'!B:B)</f>
        <v>710000</v>
      </c>
      <c r="V78" s="17" t="s">
        <v>41</v>
      </c>
    </row>
    <row r="79" spans="1:23" x14ac:dyDescent="0.3">
      <c r="A79" s="20" t="s">
        <v>328</v>
      </c>
      <c r="B79" s="12" t="s">
        <v>329</v>
      </c>
      <c r="C79" s="13" t="s">
        <v>330</v>
      </c>
      <c r="D79" s="12"/>
      <c r="E79" s="12" t="s">
        <v>110</v>
      </c>
      <c r="F79" s="12" t="s">
        <v>27</v>
      </c>
      <c r="G79" s="17" t="s">
        <v>97</v>
      </c>
      <c r="H79" s="17">
        <v>4.08</v>
      </c>
      <c r="J79" s="17">
        <v>0</v>
      </c>
      <c r="K79" s="21">
        <v>0</v>
      </c>
      <c r="L79" s="14">
        <v>0</v>
      </c>
      <c r="T79" s="17">
        <v>115</v>
      </c>
      <c r="U79" s="15">
        <f>SUMIF('[1]CBA Breakdown'!A:A,A79,'[1]CBA Breakdown'!B:B)</f>
        <v>50000</v>
      </c>
      <c r="W79" s="17" t="s">
        <v>331</v>
      </c>
    </row>
    <row r="80" spans="1:23" x14ac:dyDescent="0.3">
      <c r="A80" s="20" t="s">
        <v>332</v>
      </c>
      <c r="B80" s="12" t="s">
        <v>333</v>
      </c>
      <c r="C80" s="13" t="s">
        <v>334</v>
      </c>
      <c r="D80" s="12"/>
      <c r="E80" s="12" t="s">
        <v>96</v>
      </c>
      <c r="F80" s="12" t="s">
        <v>71</v>
      </c>
      <c r="G80" s="17" t="s">
        <v>106</v>
      </c>
      <c r="H80" s="17">
        <v>3.9</v>
      </c>
      <c r="I80" s="17">
        <v>150</v>
      </c>
      <c r="J80" s="17">
        <v>180</v>
      </c>
      <c r="K80" s="10">
        <v>46</v>
      </c>
      <c r="L80" s="14">
        <f>K80/158</f>
        <v>0.29113924050632911</v>
      </c>
      <c r="M80" s="17">
        <v>5</v>
      </c>
      <c r="O80" s="17">
        <v>29</v>
      </c>
      <c r="P80" s="17">
        <v>12</v>
      </c>
      <c r="T80" s="17">
        <v>330</v>
      </c>
      <c r="U80" s="15">
        <f>SUMIF('[1]CBA Breakdown'!A:A,A80,'[1]CBA Breakdown'!B:B)</f>
        <v>125000</v>
      </c>
      <c r="V80" s="17" t="s">
        <v>41</v>
      </c>
    </row>
    <row r="81" spans="1:23" x14ac:dyDescent="0.3">
      <c r="A81" s="20" t="s">
        <v>335</v>
      </c>
      <c r="B81" s="12" t="s">
        <v>336</v>
      </c>
      <c r="C81" s="13" t="s">
        <v>337</v>
      </c>
      <c r="D81" s="12"/>
      <c r="E81" s="12" t="s">
        <v>96</v>
      </c>
      <c r="F81" s="12" t="s">
        <v>105</v>
      </c>
      <c r="G81" s="17" t="s">
        <v>338</v>
      </c>
      <c r="H81" s="17">
        <v>3.99</v>
      </c>
      <c r="J81" s="17">
        <v>0</v>
      </c>
      <c r="K81" s="21">
        <v>0</v>
      </c>
      <c r="L81" s="14">
        <v>0</v>
      </c>
      <c r="T81" s="17">
        <v>132</v>
      </c>
      <c r="U81" s="15">
        <f>SUMIF('[1]CBA Breakdown'!A:A,A81,'[1]CBA Breakdown'!B:B)</f>
        <v>1111413</v>
      </c>
      <c r="W81" s="17" t="s">
        <v>331</v>
      </c>
    </row>
    <row r="82" spans="1:23" x14ac:dyDescent="0.3">
      <c r="A82" s="11" t="s">
        <v>339</v>
      </c>
      <c r="B82" s="12" t="s">
        <v>340</v>
      </c>
      <c r="C82" s="13" t="s">
        <v>341</v>
      </c>
      <c r="D82" s="13" t="s">
        <v>342</v>
      </c>
      <c r="E82" s="12" t="s">
        <v>126</v>
      </c>
      <c r="F82" s="12" t="s">
        <v>71</v>
      </c>
      <c r="G82" s="17" t="s">
        <v>87</v>
      </c>
      <c r="H82" s="17">
        <v>4.17</v>
      </c>
      <c r="J82" s="17">
        <v>217</v>
      </c>
      <c r="K82" s="21">
        <v>21</v>
      </c>
      <c r="L82" s="14">
        <f>K82/J82</f>
        <v>9.6774193548387094E-2</v>
      </c>
      <c r="P82" s="17">
        <v>21</v>
      </c>
      <c r="T82" s="17" t="s">
        <v>343</v>
      </c>
      <c r="U82" s="15">
        <f>SUMIF('[1]CBA Breakdown'!A:A,A82,'[1]CBA Breakdown'!B:B)</f>
        <v>0</v>
      </c>
      <c r="V82" s="17" t="s">
        <v>41</v>
      </c>
    </row>
    <row r="83" spans="1:23" x14ac:dyDescent="0.3">
      <c r="A83" s="20" t="s">
        <v>344</v>
      </c>
      <c r="B83" s="12" t="s">
        <v>345</v>
      </c>
      <c r="C83" s="13" t="s">
        <v>346</v>
      </c>
      <c r="D83" s="12"/>
      <c r="E83" s="12" t="s">
        <v>126</v>
      </c>
      <c r="F83" s="12" t="s">
        <v>128</v>
      </c>
      <c r="G83" s="17" t="s">
        <v>79</v>
      </c>
      <c r="H83" s="17">
        <v>7</v>
      </c>
      <c r="I83" s="17">
        <v>153</v>
      </c>
      <c r="J83" s="17">
        <v>189</v>
      </c>
      <c r="K83" s="10">
        <v>55</v>
      </c>
      <c r="L83" s="14">
        <f>K83/164</f>
        <v>0.33536585365853661</v>
      </c>
      <c r="O83" s="17">
        <v>55</v>
      </c>
      <c r="T83" s="17">
        <v>140</v>
      </c>
      <c r="U83" s="15">
        <f>SUMIF('[1]CBA Breakdown'!A:A,A83,'[1]CBA Breakdown'!B:B)</f>
        <v>20002500</v>
      </c>
    </row>
    <row r="84" spans="1:23" x14ac:dyDescent="0.3">
      <c r="A84" s="20" t="s">
        <v>347</v>
      </c>
      <c r="B84" s="12" t="s">
        <v>348</v>
      </c>
      <c r="C84" s="13" t="s">
        <v>349</v>
      </c>
      <c r="D84" s="12"/>
      <c r="E84" s="12" t="s">
        <v>350</v>
      </c>
      <c r="F84" s="12" t="s">
        <v>351</v>
      </c>
      <c r="G84" s="17" t="s">
        <v>106</v>
      </c>
      <c r="H84" s="17">
        <v>4.5</v>
      </c>
      <c r="I84" s="17">
        <v>198</v>
      </c>
      <c r="J84" s="17">
        <v>242</v>
      </c>
      <c r="K84" s="21" t="e">
        <v>#N/A</v>
      </c>
      <c r="L84" s="14">
        <v>0</v>
      </c>
      <c r="T84">
        <f>84+0.6*220</f>
        <v>216</v>
      </c>
      <c r="U84" s="15">
        <f>SUMIF('[1]CBA Breakdown'!A:A,A84,'[1]CBA Breakdown'!B:B)</f>
        <v>0</v>
      </c>
      <c r="W84" s="17" t="s">
        <v>352</v>
      </c>
    </row>
    <row r="85" spans="1:23" x14ac:dyDescent="0.3">
      <c r="A85" s="11" t="s">
        <v>353</v>
      </c>
      <c r="B85" s="12" t="s">
        <v>354</v>
      </c>
      <c r="C85" s="13" t="s">
        <v>355</v>
      </c>
      <c r="D85" s="13" t="s">
        <v>356</v>
      </c>
      <c r="E85" s="12" t="s">
        <v>323</v>
      </c>
      <c r="F85" s="12" t="s">
        <v>105</v>
      </c>
      <c r="G85" s="17" t="s">
        <v>357</v>
      </c>
      <c r="H85" s="17">
        <v>2.83</v>
      </c>
      <c r="I85" s="17">
        <v>110</v>
      </c>
      <c r="J85" s="17">
        <v>135</v>
      </c>
      <c r="K85" s="21">
        <v>6</v>
      </c>
      <c r="L85" s="14">
        <f t="shared" ref="L85:L87" si="11">K85/J85</f>
        <v>4.4444444444444446E-2</v>
      </c>
      <c r="P85" s="17">
        <v>6</v>
      </c>
      <c r="T85" s="17" t="s">
        <v>358</v>
      </c>
      <c r="U85" s="15">
        <f>SUMIF('[1]CBA Breakdown'!A:A,A85,'[1]CBA Breakdown'!B:B)</f>
        <v>389550</v>
      </c>
    </row>
    <row r="86" spans="1:23" x14ac:dyDescent="0.3">
      <c r="A86" s="11" t="s">
        <v>359</v>
      </c>
      <c r="B86" s="12" t="s">
        <v>360</v>
      </c>
      <c r="C86" s="13" t="s">
        <v>361</v>
      </c>
      <c r="D86" s="13" t="s">
        <v>362</v>
      </c>
      <c r="E86" s="12" t="s">
        <v>363</v>
      </c>
      <c r="F86" s="12" t="s">
        <v>71</v>
      </c>
      <c r="G86" s="17" t="s">
        <v>364</v>
      </c>
      <c r="H86" s="17">
        <v>3.87</v>
      </c>
      <c r="J86">
        <f>235+82</f>
        <v>317</v>
      </c>
      <c r="K86" s="10">
        <v>124</v>
      </c>
      <c r="L86" s="14">
        <f t="shared" si="11"/>
        <v>0.39116719242902209</v>
      </c>
      <c r="M86" s="17">
        <v>28</v>
      </c>
      <c r="O86" s="17">
        <v>22</v>
      </c>
      <c r="Q86" s="17">
        <v>41</v>
      </c>
      <c r="R86" s="17">
        <v>24</v>
      </c>
      <c r="T86" s="17">
        <v>844</v>
      </c>
      <c r="U86" s="15">
        <f>SUMIF('[1]CBA Breakdown'!A:A,A86,'[1]CBA Breakdown'!B:B)</f>
        <v>750000</v>
      </c>
    </row>
    <row r="87" spans="1:23" x14ac:dyDescent="0.3">
      <c r="A87" s="20" t="s">
        <v>359</v>
      </c>
      <c r="B87" s="12" t="s">
        <v>365</v>
      </c>
      <c r="C87" s="13" t="s">
        <v>361</v>
      </c>
      <c r="D87" s="12"/>
      <c r="E87" s="12" t="s">
        <v>366</v>
      </c>
      <c r="F87" s="12" t="s">
        <v>71</v>
      </c>
      <c r="G87" s="17" t="s">
        <v>364</v>
      </c>
      <c r="H87" s="17">
        <v>3.87</v>
      </c>
      <c r="J87" s="17">
        <v>869</v>
      </c>
      <c r="K87" s="21">
        <v>200</v>
      </c>
      <c r="L87" s="14">
        <f t="shared" si="11"/>
        <v>0.23014959723820483</v>
      </c>
      <c r="M87" s="17">
        <v>62</v>
      </c>
      <c r="N87" s="17">
        <v>5</v>
      </c>
      <c r="O87" s="17">
        <v>69</v>
      </c>
      <c r="P87" s="17">
        <v>6</v>
      </c>
      <c r="Q87" s="17">
        <v>46</v>
      </c>
      <c r="R87" s="17">
        <v>23</v>
      </c>
      <c r="T87" s="17">
        <v>1483</v>
      </c>
      <c r="U87" s="15">
        <f>SUMIF('[1]CBA Breakdown'!A:A,A87,'[1]CBA Breakdown'!B:B)</f>
        <v>750000</v>
      </c>
    </row>
    <row r="88" spans="1:23" x14ac:dyDescent="0.3">
      <c r="A88" s="20" t="s">
        <v>367</v>
      </c>
      <c r="B88" s="12" t="s">
        <v>368</v>
      </c>
      <c r="C88" s="13" t="s">
        <v>369</v>
      </c>
      <c r="D88" s="12"/>
      <c r="E88" s="12" t="s">
        <v>96</v>
      </c>
      <c r="F88" s="12" t="s">
        <v>27</v>
      </c>
      <c r="G88" s="17" t="s">
        <v>370</v>
      </c>
      <c r="H88" s="17">
        <v>3.31</v>
      </c>
      <c r="I88" s="17">
        <v>205</v>
      </c>
      <c r="J88" s="17">
        <v>220</v>
      </c>
      <c r="K88" s="21">
        <v>20</v>
      </c>
      <c r="L88" s="14">
        <v>0.1</v>
      </c>
      <c r="N88" s="17">
        <v>10</v>
      </c>
      <c r="P88" s="17">
        <v>10</v>
      </c>
      <c r="T88" s="17">
        <v>130</v>
      </c>
      <c r="U88" s="15">
        <f>SUMIF('[1]CBA Breakdown'!A:A,A88,'[1]CBA Breakdown'!B:B)</f>
        <v>0</v>
      </c>
    </row>
    <row r="89" spans="1:23" x14ac:dyDescent="0.3">
      <c r="A89" s="11" t="s">
        <v>371</v>
      </c>
      <c r="B89" s="12" t="s">
        <v>372</v>
      </c>
      <c r="C89" s="13" t="s">
        <v>373</v>
      </c>
      <c r="D89" s="13" t="s">
        <v>374</v>
      </c>
      <c r="E89" s="12" t="s">
        <v>375</v>
      </c>
      <c r="F89" s="12" t="s">
        <v>105</v>
      </c>
      <c r="G89" s="17" t="s">
        <v>281</v>
      </c>
      <c r="H89" s="17">
        <v>5.37</v>
      </c>
      <c r="I89" s="17">
        <v>100</v>
      </c>
      <c r="J89">
        <f>124</f>
        <v>124</v>
      </c>
      <c r="K89" s="21">
        <v>8</v>
      </c>
      <c r="L89" s="14">
        <v>0.08</v>
      </c>
      <c r="P89" s="17">
        <v>8</v>
      </c>
      <c r="T89" s="17">
        <v>50</v>
      </c>
      <c r="U89" s="15">
        <f>SUMIF('[1]CBA Breakdown'!A:A,A89,'[1]CBA Breakdown'!B:B)</f>
        <v>0</v>
      </c>
    </row>
    <row r="90" spans="1:23" x14ac:dyDescent="0.3">
      <c r="A90" s="20" t="s">
        <v>376</v>
      </c>
      <c r="B90" s="12" t="s">
        <v>377</v>
      </c>
      <c r="C90" s="13" t="s">
        <v>378</v>
      </c>
      <c r="D90" s="12"/>
      <c r="E90" s="12" t="s">
        <v>144</v>
      </c>
      <c r="F90" s="12" t="s">
        <v>40</v>
      </c>
      <c r="G90" s="17" t="s">
        <v>118</v>
      </c>
      <c r="H90" s="17">
        <v>4.8</v>
      </c>
      <c r="I90" s="17">
        <v>55</v>
      </c>
      <c r="J90" s="17">
        <v>65</v>
      </c>
      <c r="K90" s="10">
        <v>6</v>
      </c>
      <c r="L90" s="14">
        <v>0.1</v>
      </c>
      <c r="P90" s="17">
        <v>6</v>
      </c>
      <c r="T90" s="17">
        <v>78</v>
      </c>
      <c r="U90" s="15">
        <f>SUMIF('[1]CBA Breakdown'!A:A,A90,'[1]CBA Breakdown'!B:B)</f>
        <v>1300000</v>
      </c>
      <c r="V90" s="17" t="s">
        <v>41</v>
      </c>
    </row>
    <row r="91" spans="1:23" x14ac:dyDescent="0.3">
      <c r="A91" s="20" t="s">
        <v>379</v>
      </c>
      <c r="B91" s="12" t="s">
        <v>380</v>
      </c>
      <c r="C91" s="13" t="s">
        <v>381</v>
      </c>
      <c r="D91" s="12"/>
      <c r="E91" s="12" t="s">
        <v>118</v>
      </c>
      <c r="F91" s="12" t="s">
        <v>45</v>
      </c>
      <c r="G91" s="17" t="s">
        <v>370</v>
      </c>
      <c r="H91" s="17">
        <v>1.9</v>
      </c>
      <c r="I91" s="17">
        <v>67</v>
      </c>
      <c r="J91" s="17">
        <v>73</v>
      </c>
      <c r="K91" s="21">
        <v>70</v>
      </c>
      <c r="L91" s="14">
        <v>1</v>
      </c>
      <c r="M91" s="17">
        <v>23</v>
      </c>
      <c r="O91" s="17">
        <v>47</v>
      </c>
      <c r="T91" s="17">
        <v>41</v>
      </c>
      <c r="U91" s="15">
        <f>SUMIF('[1]CBA Breakdown'!A:A,A91,'[1]CBA Breakdown'!B:B)</f>
        <v>0</v>
      </c>
    </row>
    <row r="92" spans="1:23" ht="24" customHeight="1" x14ac:dyDescent="0.3">
      <c r="A92" s="11" t="s">
        <v>382</v>
      </c>
      <c r="B92" s="12" t="s">
        <v>383</v>
      </c>
      <c r="C92" s="13" t="s">
        <v>384</v>
      </c>
      <c r="D92" s="27" t="s">
        <v>412</v>
      </c>
      <c r="E92" s="12" t="s">
        <v>125</v>
      </c>
      <c r="F92" s="12" t="s">
        <v>71</v>
      </c>
      <c r="G92" s="17" t="s">
        <v>96</v>
      </c>
      <c r="H92" s="17">
        <v>5</v>
      </c>
      <c r="I92" s="17">
        <v>346</v>
      </c>
      <c r="J92" s="17">
        <v>425</v>
      </c>
      <c r="K92" s="21">
        <v>30</v>
      </c>
      <c r="L92" s="14">
        <v>0.08</v>
      </c>
      <c r="P92" s="17">
        <v>30</v>
      </c>
      <c r="T92" s="17">
        <v>405</v>
      </c>
      <c r="U92" s="15">
        <f>SUMIF('[1]CBA Breakdown'!A:A,A92,'[1]CBA Breakdown'!B:B)</f>
        <v>0</v>
      </c>
      <c r="V92" s="17" t="s">
        <v>41</v>
      </c>
    </row>
  </sheetData>
  <autoFilter ref="A1:W92" xr:uid="{42EDB3A8-1300-494E-B2BE-DD128352B85D}"/>
  <hyperlinks>
    <hyperlink ref="C8" r:id="rId1" xr:uid="{253065B9-2BB4-49DC-A253-445193585141}"/>
    <hyperlink ref="C9" r:id="rId2" xr:uid="{1C138DD6-A540-4F48-9E9A-326868896A22}"/>
    <hyperlink ref="C10" r:id="rId3" xr:uid="{44E2132E-5CDB-44F1-B8A8-60CB7E1278D5}"/>
    <hyperlink ref="C11" r:id="rId4" xr:uid="{D122B42C-D93F-4138-8B47-9015BCF88215}"/>
    <hyperlink ref="C13" r:id="rId5" xr:uid="{3EA0715A-2920-4FD6-903E-86B80E8130E2}"/>
    <hyperlink ref="C14" r:id="rId6" xr:uid="{F102051A-4D38-46C4-A5DA-0F993F019F27}"/>
    <hyperlink ref="C15" r:id="rId7" xr:uid="{DF975865-1038-4506-9F82-9FA000FACCF0}"/>
    <hyperlink ref="C16" r:id="rId8" xr:uid="{A6AC2080-BE9E-411F-9475-960F5D894D70}"/>
    <hyperlink ref="C17" r:id="rId9" xr:uid="{5A14D598-2AB8-4396-8752-F26CC54AAEEF}"/>
    <hyperlink ref="C18" r:id="rId10" xr:uid="{04EC621D-4032-4C4F-A9DA-C674DAA5BFEB}"/>
    <hyperlink ref="C19" r:id="rId11" xr:uid="{EE1E4FCB-B63C-410A-B60F-E4FE2C69FDA5}"/>
    <hyperlink ref="C20" r:id="rId12" xr:uid="{542AEDCB-688C-40D3-B6C7-49DC04EFFC21}"/>
    <hyperlink ref="C21" r:id="rId13" xr:uid="{E396F825-F64E-43BD-8808-4E600F38FE0A}"/>
    <hyperlink ref="C22" r:id="rId14" xr:uid="{13DA4BC5-067F-4AB1-A15C-B64651283179}"/>
    <hyperlink ref="C23" r:id="rId15" xr:uid="{AAFC5002-0D23-451F-ADA5-E527E23D9F62}"/>
    <hyperlink ref="C24" r:id="rId16" xr:uid="{C4BA1AC6-EA89-44FD-B23D-2220EF2991BE}"/>
    <hyperlink ref="C25" r:id="rId17" xr:uid="{A6B550B7-F7D7-4F14-9F46-F57A4B2582AB}"/>
    <hyperlink ref="C26" r:id="rId18" xr:uid="{A146FE41-2B00-481F-BD5A-B85619B1368A}"/>
    <hyperlink ref="C27" r:id="rId19" xr:uid="{1F48B11E-9884-47BC-BDD2-6978A86D3F05}"/>
    <hyperlink ref="C28" r:id="rId20" xr:uid="{ABFE0AC0-30C2-4A00-AE4C-47ADC53A1510}"/>
    <hyperlink ref="C29" r:id="rId21" xr:uid="{734C4A0C-A79D-4482-8130-C4F50036EEAB}"/>
    <hyperlink ref="C30" r:id="rId22" xr:uid="{EB099FF2-2575-434F-A4AF-CC2AD64B8C63}"/>
    <hyperlink ref="C31" r:id="rId23" xr:uid="{E04D7CEF-18E3-49D2-B2EC-0CA83A757884}"/>
    <hyperlink ref="D31" r:id="rId24" xr:uid="{AE0B752C-CA29-48E1-BA5D-0550608C7249}"/>
    <hyperlink ref="C32" r:id="rId25" xr:uid="{E2E8A715-435F-40D9-B95B-CFD97B26C863}"/>
    <hyperlink ref="C33" r:id="rId26" xr:uid="{0CD2CEA3-2992-42EA-B74E-B050CBBC1D5D}"/>
    <hyperlink ref="C34" r:id="rId27" xr:uid="{49179FAC-AA79-4C66-8061-0F43EAEFA4C7}"/>
    <hyperlink ref="C35" r:id="rId28" xr:uid="{EF0DAFAD-C576-4263-84A0-ADA74AC7E212}"/>
    <hyperlink ref="C36" r:id="rId29" xr:uid="{672507CE-C224-475B-9AC7-D55E2274E42A}"/>
    <hyperlink ref="C37" r:id="rId30" xr:uid="{15C2082F-7C4B-4BC9-A1C8-9886B7C3BA23}"/>
    <hyperlink ref="C38" r:id="rId31" xr:uid="{3537A5D8-A03A-450F-84D6-5CEFDD404BAE}"/>
    <hyperlink ref="C39" r:id="rId32" xr:uid="{6D0C0BFB-18B3-49BA-AABB-D932F685CE68}"/>
    <hyperlink ref="C40" r:id="rId33" xr:uid="{1B9DD730-D6B5-42D7-A65D-CC6A95F41FDD}"/>
    <hyperlink ref="C41" r:id="rId34" xr:uid="{1ACA83A7-E44E-4025-89E3-15E75ABCB18A}"/>
    <hyperlink ref="C42" r:id="rId35" xr:uid="{FA59EE77-2D90-45BA-8F3C-779F0BDEA230}"/>
    <hyperlink ref="C43" r:id="rId36" xr:uid="{7855922E-67CA-48B0-AB41-A1CA84DDE38B}"/>
    <hyperlink ref="C44" r:id="rId37" xr:uid="{CBE91463-C4AE-4AC7-9CC5-2D0C7497E510}"/>
    <hyperlink ref="C45" r:id="rId38" xr:uid="{48A96304-AF4F-4064-8278-34AC4F0EC457}"/>
    <hyperlink ref="C46" r:id="rId39" xr:uid="{9FB71FDB-609C-4964-A225-D89683439454}"/>
    <hyperlink ref="C47" r:id="rId40" xr:uid="{0B108191-8C4B-4F42-8A25-6FB3167FAA6B}"/>
    <hyperlink ref="C48" r:id="rId41" xr:uid="{10AA55AC-A4E7-4EC1-839C-1B9666553CBE}"/>
    <hyperlink ref="C49" r:id="rId42" xr:uid="{40D28825-7502-473F-A71F-02113C98ECC4}"/>
    <hyperlink ref="C50" r:id="rId43" xr:uid="{2803318D-B947-4FB2-AC18-C69518AED45D}"/>
    <hyperlink ref="C51" r:id="rId44" xr:uid="{15C152C3-FBCD-469D-8C37-FC6F45FE7427}"/>
    <hyperlink ref="C52" r:id="rId45" xr:uid="{588EA6CF-E7F0-47DA-9FAF-0C3BF1CE41A0}"/>
    <hyperlink ref="C53" r:id="rId46" xr:uid="{92D77EB4-E064-4194-9033-5D8E83F65D7B}"/>
    <hyperlink ref="C54" r:id="rId47" xr:uid="{612FF186-2A81-4D95-A89E-04245127CB39}"/>
    <hyperlink ref="C55" r:id="rId48" xr:uid="{CDAC0EF0-CB20-4656-A5FF-05FB0C1B0B6C}"/>
    <hyperlink ref="D55" r:id="rId49" xr:uid="{8294A30C-E988-4642-9DA3-0F12857392B5}"/>
    <hyperlink ref="C56" r:id="rId50" xr:uid="{15B45C40-CC13-4930-8AD8-5DFEE4268FF1}"/>
    <hyperlink ref="C57" r:id="rId51" xr:uid="{19463F55-161E-4EA2-8BAA-4A1507B4E2AF}"/>
    <hyperlink ref="C58" r:id="rId52" xr:uid="{8933ED9F-A717-4DB3-833D-B0E56E9F9B75}"/>
    <hyperlink ref="C59" r:id="rId53" xr:uid="{D08D0678-DBD2-4EDA-B2E4-0D8412D034D0}"/>
    <hyperlink ref="C60" r:id="rId54" xr:uid="{D5ABAFB6-B712-45EC-A409-45DF529E44E3}"/>
    <hyperlink ref="D60" r:id="rId55" xr:uid="{C0A87E5E-31D1-4B79-B30E-D7ECF96DE4D0}"/>
    <hyperlink ref="C61" r:id="rId56" xr:uid="{9EAB3FFB-56BA-4C98-8BF4-2C878268E8E2}"/>
    <hyperlink ref="D61" r:id="rId57" xr:uid="{8959913B-FE0E-4601-97B3-33B745B836B1}"/>
    <hyperlink ref="C62" r:id="rId58" xr:uid="{BAFC411B-DF5A-47D6-A20C-279E278AFAC2}"/>
    <hyperlink ref="D62" r:id="rId59" xr:uid="{D13D2585-B124-4CC8-A876-FE4C55EE0173}"/>
    <hyperlink ref="C63" r:id="rId60" xr:uid="{1A78B581-7797-45C0-872F-3C1BA0BCF365}"/>
    <hyperlink ref="D63" r:id="rId61" xr:uid="{DDCA8919-2250-47EB-9375-DD2312EF2A8E}"/>
    <hyperlink ref="C64" r:id="rId62" xr:uid="{F3A94979-E856-43DB-8413-8F160447153A}"/>
    <hyperlink ref="D64" r:id="rId63" xr:uid="{2443363E-197B-4920-A2E1-676EF9AD7F8A}"/>
    <hyperlink ref="C65" r:id="rId64" xr:uid="{CEA83DA1-1E6B-4E15-BA8D-86938C7CEF91}"/>
    <hyperlink ref="C66" r:id="rId65" xr:uid="{F8E4A75F-75B8-4A23-B2E7-802D0AE6930C}"/>
    <hyperlink ref="C67" r:id="rId66" xr:uid="{A7A1133F-76D2-4DB5-B2F8-F60E6569D13C}"/>
    <hyperlink ref="D67" r:id="rId67" xr:uid="{490A8BB8-F583-4E9B-AB14-70800922449D}"/>
    <hyperlink ref="C68" r:id="rId68" xr:uid="{E941DF09-F367-4AA3-9359-EA502540B669}"/>
    <hyperlink ref="D68" r:id="rId69" xr:uid="{EC0E67FA-67F6-4CA6-88B4-854594FAD495}"/>
    <hyperlink ref="C69" r:id="rId70" xr:uid="{2C168CD1-E335-4794-BD59-5B3600BFAAEB}"/>
    <hyperlink ref="D69" r:id="rId71" xr:uid="{25739901-9D73-4DD0-9981-CB80E97FCD9F}"/>
    <hyperlink ref="C70" r:id="rId72" xr:uid="{529E53D1-50BF-4A63-81EC-771F11626FC3}"/>
    <hyperlink ref="C71" r:id="rId73" xr:uid="{33B6216F-DA8C-416B-B750-26BC16921E52}"/>
    <hyperlink ref="D71" r:id="rId74" xr:uid="{E6915BCA-DF47-44A3-9B7F-75160A336AB1}"/>
    <hyperlink ref="C72" r:id="rId75" xr:uid="{0A1DDE86-6C33-4FEA-A292-B0D886E2663D}"/>
    <hyperlink ref="C73" r:id="rId76" xr:uid="{4D91DD9B-41BB-44FD-AE85-0D56B52327CB}"/>
    <hyperlink ref="D73" r:id="rId77" xr:uid="{A122BF66-9A6B-46E9-84BE-A277B7D253A8}"/>
    <hyperlink ref="C74" r:id="rId78" xr:uid="{C61F4890-9B1F-4AAC-A436-C08BCBDA478B}"/>
    <hyperlink ref="D74" r:id="rId79" xr:uid="{487456CB-0727-43DC-A59A-E562031F8889}"/>
    <hyperlink ref="C75" r:id="rId80" xr:uid="{A86D5E5C-9DFF-469C-91B9-C26A37785D61}"/>
    <hyperlink ref="D75" r:id="rId81" xr:uid="{C77352E4-390D-4219-98CC-2A0AB32A056D}"/>
    <hyperlink ref="C76" r:id="rId82" xr:uid="{8B57442E-58A7-4B9F-8CAD-3031DDD19CC8}"/>
    <hyperlink ref="C77" r:id="rId83" xr:uid="{D46D3F7E-45FF-41FE-BFD3-24FD5B744F0D}"/>
    <hyperlink ref="C78" r:id="rId84" xr:uid="{6A604033-82EE-4DEC-A2A5-2716F9610AF1}"/>
    <hyperlink ref="C79" r:id="rId85" xr:uid="{E3AEC33F-54FE-46C0-B962-7617081C5541}"/>
    <hyperlink ref="C80" r:id="rId86" xr:uid="{F1C3FB10-07FB-4A48-A9D3-6DD087AF34A6}"/>
    <hyperlink ref="C81" r:id="rId87" xr:uid="{CFD9904D-FA47-45B3-B5CD-0C4E1825D371}"/>
    <hyperlink ref="C82" r:id="rId88" xr:uid="{9EDB853D-9F69-412F-AF24-9D2CF9D9B88E}"/>
    <hyperlink ref="D82" r:id="rId89" xr:uid="{37FD0259-7132-47A8-8B28-BFFE550A74AF}"/>
    <hyperlink ref="C83" r:id="rId90" xr:uid="{F35BEA7D-A4A2-4C51-8F21-0B91F5934BEE}"/>
    <hyperlink ref="C84" r:id="rId91" xr:uid="{98E15535-F7BE-4693-9DD9-F6FB1BC4F86B}"/>
    <hyperlink ref="C85" r:id="rId92" xr:uid="{03D143D3-51AB-4B28-8553-951773721932}"/>
    <hyperlink ref="D85" r:id="rId93" xr:uid="{D9FDF0F5-27AD-4605-9B0A-D2E040133A20}"/>
    <hyperlink ref="C86" r:id="rId94" xr:uid="{DB3F62F1-AE03-40E1-A4F7-74E8992171DE}"/>
    <hyperlink ref="D86" r:id="rId95" xr:uid="{915F212E-E5E2-41B0-8881-1430CF6740CE}"/>
    <hyperlink ref="C87" r:id="rId96" xr:uid="{0C950E40-3865-4088-A639-B6012A690E97}"/>
    <hyperlink ref="C88" r:id="rId97" xr:uid="{9D1EC074-9EA1-4999-A8D2-9D4A855E1701}"/>
    <hyperlink ref="C89" r:id="rId98" xr:uid="{74F181A6-52C5-49C9-8AAE-2464D8203F3C}"/>
    <hyperlink ref="D89" r:id="rId99" xr:uid="{784F7C5A-5867-4B6F-B959-C6443EFE0982}"/>
    <hyperlink ref="C90" r:id="rId100" xr:uid="{BA4A3AF4-F1AC-4D2F-9177-C5EAE7603F17}"/>
    <hyperlink ref="C91" r:id="rId101" xr:uid="{D3E72865-71A4-4124-98AE-C86FBA96E62E}"/>
    <hyperlink ref="C92" r:id="rId102" xr:uid="{C4ACAA73-3E9C-4118-A90F-28FCE2159BB6}"/>
    <hyperlink ref="D92" r:id="rId103" xr:uid="{93FCEB31-E3F2-4840-B08F-10291C689F33}"/>
    <hyperlink ref="C12" r:id="rId104" xr:uid="{B7813E1E-9D03-40BD-85D9-D200CA692FE2}"/>
    <hyperlink ref="D36" r:id="rId105" xr:uid="{873813E9-8A17-4BD8-82D3-453AF59B9320}"/>
    <hyperlink ref="D39" r:id="rId106" xr:uid="{38A3C6D0-D8C1-40F3-9846-8C927ABFB4C9}"/>
    <hyperlink ref="D66" r:id="rId107" xr:uid="{E1E86C2C-D685-4F5F-B5AC-3739C0AB908F}"/>
    <hyperlink ref="D77" r:id="rId108" xr:uid="{98DE2ABD-1EDF-4F79-8116-8E1E0A51BCBC}"/>
    <hyperlink ref="C7" r:id="rId109" xr:uid="{1B906FFC-8E2D-4A30-8BF7-A658F8272691}"/>
    <hyperlink ref="C6" r:id="rId110" xr:uid="{8EE6C644-AA5F-4AD3-9741-201D90800849}"/>
    <hyperlink ref="C5" r:id="rId111" xr:uid="{0D1FECE0-36CE-47F5-A5A1-1295E420F8FD}"/>
    <hyperlink ref="C4" r:id="rId112" xr:uid="{1C6F147C-D353-4B1B-BFE1-2B12420D125B}"/>
    <hyperlink ref="C3" r:id="rId113" xr:uid="{AFE01199-F578-43DE-877F-DF78AD0335C7}"/>
    <hyperlink ref="C2" r:id="rId114" xr:uid="{383C8B13-664B-4485-967C-D51610B30F08}"/>
  </hyperlinks>
  <pageMargins left="0.7" right="0.7" top="0.75" bottom="0.75" header="0.3" footer="0.3"/>
  <pageSetup orientation="portrait" horizontalDpi="1200" verticalDpi="1200" r:id="rId1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Sunaina Kathpalia</dc:creator>
  <cp:lastModifiedBy>Sunaina Kathpalia</cp:lastModifiedBy>
  <dcterms:created xsi:type="dcterms:W3CDTF">2022-05-23T15:15:52Z</dcterms:created>
  <dcterms:modified xsi:type="dcterms:W3CDTF">2022-05-31T15:04:37Z</dcterms:modified>
</cp:coreProperties>
</file>